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0596\Desktop\審議会資料\"/>
    </mc:Choice>
  </mc:AlternateContent>
  <bookViews>
    <workbookView xWindow="0" yWindow="0" windowWidth="20490" windowHeight="6810"/>
  </bookViews>
  <sheets>
    <sheet name="簡易シミュレーター" sheetId="4" r:id="rId1"/>
  </sheets>
  <definedNames>
    <definedName name="_xlnm.Print_Area" localSheetId="0">簡易シミュレーター!$A$13:$N$96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F63" i="4" l="1"/>
  <c r="E63" i="4"/>
  <c r="D63" i="4"/>
  <c r="F57" i="4"/>
  <c r="F56" i="4"/>
  <c r="F55" i="4"/>
  <c r="F54" i="4"/>
  <c r="F53" i="4"/>
  <c r="F52" i="4"/>
  <c r="F51" i="4"/>
  <c r="F50" i="4"/>
  <c r="E57" i="4"/>
  <c r="E56" i="4"/>
  <c r="E55" i="4"/>
  <c r="E54" i="4"/>
  <c r="E53" i="4"/>
  <c r="E52" i="4"/>
  <c r="E51" i="4"/>
  <c r="E50" i="4"/>
  <c r="D57" i="4"/>
  <c r="D56" i="4"/>
  <c r="D55" i="4"/>
  <c r="D54" i="4"/>
  <c r="D53" i="4"/>
  <c r="D52" i="4"/>
  <c r="D51" i="4"/>
  <c r="K70" i="4"/>
  <c r="K69" i="4"/>
  <c r="K68" i="4"/>
  <c r="K67" i="4"/>
  <c r="K66" i="4"/>
  <c r="K65" i="4"/>
  <c r="K64" i="4"/>
  <c r="K63" i="4"/>
  <c r="L55" i="4"/>
  <c r="L54" i="4"/>
  <c r="L53" i="4"/>
  <c r="L52" i="4"/>
  <c r="L51" i="4"/>
  <c r="K55" i="4"/>
  <c r="K54" i="4"/>
  <c r="K53" i="4"/>
  <c r="K52" i="4"/>
  <c r="K51" i="4"/>
  <c r="K50" i="4"/>
  <c r="J55" i="4"/>
  <c r="J54" i="4"/>
  <c r="J53" i="4"/>
  <c r="J52" i="4"/>
  <c r="J51" i="4"/>
  <c r="G57" i="4"/>
  <c r="G56" i="4"/>
  <c r="G55" i="4"/>
  <c r="G54" i="4"/>
  <c r="G53" i="4"/>
  <c r="G52" i="4"/>
  <c r="G51" i="4"/>
  <c r="G50" i="4"/>
  <c r="D50" i="4"/>
  <c r="J95" i="4" l="1"/>
  <c r="J90" i="4"/>
  <c r="J91" i="4"/>
  <c r="J92" i="4"/>
  <c r="J93" i="4"/>
  <c r="J94" i="4"/>
  <c r="J89" i="4"/>
  <c r="I95" i="4"/>
  <c r="I90" i="4"/>
  <c r="I91" i="4"/>
  <c r="I92" i="4"/>
  <c r="I93" i="4"/>
  <c r="I94" i="4"/>
  <c r="I89" i="4"/>
  <c r="D88" i="4"/>
  <c r="J77" i="4"/>
  <c r="J78" i="4"/>
  <c r="J79" i="4"/>
  <c r="J80" i="4"/>
  <c r="J76" i="4"/>
  <c r="D76" i="4"/>
  <c r="D77" i="4"/>
  <c r="D78" i="4"/>
  <c r="D79" i="4"/>
  <c r="D80" i="4"/>
  <c r="D81" i="4"/>
  <c r="D82" i="4"/>
  <c r="D75" i="4"/>
  <c r="I41" i="4"/>
  <c r="I42" i="4" s="1"/>
  <c r="I43" i="4"/>
  <c r="I44" i="4" s="1"/>
  <c r="I39" i="4"/>
  <c r="I40" i="4" s="1"/>
  <c r="I37" i="4" l="1"/>
  <c r="I38" i="4" s="1"/>
  <c r="I35" i="4"/>
  <c r="I36" i="4" s="1"/>
  <c r="I33" i="4"/>
  <c r="I34" i="4" s="1"/>
  <c r="I31" i="4" l="1"/>
  <c r="I32" i="4" s="1"/>
  <c r="I18" i="4" l="1"/>
  <c r="I17" i="4"/>
  <c r="I29" i="4" l="1"/>
  <c r="I30" i="4" s="1"/>
  <c r="I27" i="4"/>
  <c r="I28" i="4" s="1"/>
  <c r="I25" i="4"/>
  <c r="I26" i="4" s="1"/>
  <c r="I23" i="4"/>
  <c r="I24" i="4" s="1"/>
  <c r="I21" i="4"/>
  <c r="I22" i="4" s="1"/>
  <c r="I19" i="4"/>
  <c r="I20" i="4" s="1"/>
  <c r="I15" i="4"/>
  <c r="I16" i="4" s="1"/>
  <c r="I9" i="4" l="1"/>
  <c r="K89" i="4"/>
  <c r="L89" i="4" l="1"/>
  <c r="M89" i="4"/>
  <c r="I10" i="4"/>
  <c r="K88" i="4" l="1"/>
  <c r="K80" i="4"/>
  <c r="K79" i="4"/>
  <c r="L80" i="4" l="1"/>
  <c r="M80" i="4"/>
  <c r="L79" i="4"/>
  <c r="M79" i="4"/>
  <c r="E88" i="4" l="1"/>
  <c r="K94" i="4"/>
  <c r="K95" i="4"/>
  <c r="K93" i="4"/>
  <c r="K92" i="4"/>
  <c r="K91" i="4"/>
  <c r="K90" i="4"/>
  <c r="F88" i="4" l="1"/>
  <c r="G88" i="4"/>
  <c r="L95" i="4"/>
  <c r="M95" i="4"/>
  <c r="M92" i="4"/>
  <c r="L92" i="4"/>
  <c r="M93" i="4"/>
  <c r="L93" i="4"/>
  <c r="M90" i="4"/>
  <c r="L90" i="4"/>
  <c r="M91" i="4"/>
  <c r="L91" i="4"/>
  <c r="M94" i="4"/>
  <c r="L94" i="4"/>
  <c r="J9" i="4"/>
  <c r="K9" i="4" s="1"/>
  <c r="L9" i="4" l="1"/>
  <c r="K75" i="4" l="1"/>
  <c r="E81" i="4" l="1"/>
  <c r="G81" i="4" s="1"/>
  <c r="E79" i="4"/>
  <c r="F79" i="4" s="1"/>
  <c r="E78" i="4"/>
  <c r="F78" i="4" s="1"/>
  <c r="E77" i="4"/>
  <c r="F77" i="4" s="1"/>
  <c r="K76" i="4"/>
  <c r="K78" i="4"/>
  <c r="E76" i="4"/>
  <c r="F81" i="4" l="1"/>
  <c r="G79" i="4"/>
  <c r="G78" i="4"/>
  <c r="G77" i="4"/>
  <c r="J33" i="4"/>
  <c r="J34" i="4" s="1"/>
  <c r="E75" i="4"/>
  <c r="J37" i="4"/>
  <c r="K37" i="4" s="1"/>
  <c r="K77" i="4"/>
  <c r="J39" i="4"/>
  <c r="L39" i="4" s="1"/>
  <c r="E80" i="4"/>
  <c r="G76" i="4"/>
  <c r="F76" i="4"/>
  <c r="M78" i="4"/>
  <c r="L78" i="4"/>
  <c r="J43" i="4"/>
  <c r="L43" i="4" s="1"/>
  <c r="E82" i="4"/>
  <c r="L76" i="4"/>
  <c r="M76" i="4"/>
  <c r="J35" i="4"/>
  <c r="L35" i="4" s="1"/>
  <c r="J41" i="4"/>
  <c r="K41" i="4" s="1"/>
  <c r="J31" i="4"/>
  <c r="J32" i="4" s="1"/>
  <c r="J8" i="4"/>
  <c r="K8" i="4" s="1"/>
  <c r="J18" i="4"/>
  <c r="J17" i="4"/>
  <c r="J25" i="4"/>
  <c r="J29" i="4"/>
  <c r="J21" i="4"/>
  <c r="J23" i="4"/>
  <c r="J27" i="4"/>
  <c r="J19" i="4"/>
  <c r="J15" i="4"/>
  <c r="J44" i="4" l="1"/>
  <c r="K44" i="4" s="1"/>
  <c r="K33" i="4"/>
  <c r="L37" i="4"/>
  <c r="L41" i="4"/>
  <c r="J42" i="4"/>
  <c r="K42" i="4" s="1"/>
  <c r="L33" i="4"/>
  <c r="J40" i="4"/>
  <c r="K40" i="4" s="1"/>
  <c r="J38" i="4"/>
  <c r="K38" i="4" s="1"/>
  <c r="K43" i="4"/>
  <c r="K39" i="4"/>
  <c r="F82" i="4"/>
  <c r="G82" i="4"/>
  <c r="L77" i="4"/>
  <c r="M77" i="4"/>
  <c r="G80" i="4"/>
  <c r="F80" i="4"/>
  <c r="G75" i="4"/>
  <c r="F75" i="4"/>
  <c r="J36" i="4"/>
  <c r="K36" i="4" s="1"/>
  <c r="K35" i="4"/>
  <c r="L44" i="4"/>
  <c r="L34" i="4"/>
  <c r="K34" i="4"/>
  <c r="K29" i="4"/>
  <c r="L29" i="4"/>
  <c r="L27" i="4"/>
  <c r="K27" i="4"/>
  <c r="L31" i="4"/>
  <c r="K31" i="4"/>
  <c r="L8" i="4"/>
  <c r="J10" i="4"/>
  <c r="L10" i="4" s="1"/>
  <c r="J20" i="4"/>
  <c r="K19" i="4"/>
  <c r="L19" i="4"/>
  <c r="J28" i="4"/>
  <c r="J26" i="4"/>
  <c r="K25" i="4"/>
  <c r="L25" i="4"/>
  <c r="J24" i="4"/>
  <c r="K23" i="4"/>
  <c r="L23" i="4"/>
  <c r="L17" i="4"/>
  <c r="K17" i="4"/>
  <c r="J30" i="4"/>
  <c r="J22" i="4"/>
  <c r="K21" i="4"/>
  <c r="L21" i="4"/>
  <c r="L18" i="4"/>
  <c r="K18" i="4"/>
  <c r="J16" i="4"/>
  <c r="K15" i="4"/>
  <c r="L15" i="4"/>
  <c r="L42" i="4" l="1"/>
  <c r="L40" i="4"/>
  <c r="L38" i="4"/>
  <c r="L36" i="4"/>
  <c r="K28" i="4"/>
  <c r="L28" i="4"/>
  <c r="K30" i="4"/>
  <c r="L30" i="4"/>
  <c r="L32" i="4"/>
  <c r="K32" i="4"/>
  <c r="K10" i="4"/>
  <c r="L26" i="4"/>
  <c r="K26" i="4"/>
  <c r="L16" i="4"/>
  <c r="K16" i="4"/>
  <c r="L24" i="4"/>
  <c r="K24" i="4"/>
  <c r="L22" i="4"/>
  <c r="K22" i="4"/>
  <c r="L20" i="4"/>
  <c r="K20" i="4"/>
</calcChain>
</file>

<file path=xl/sharedStrings.xml><?xml version="1.0" encoding="utf-8"?>
<sst xmlns="http://schemas.openxmlformats.org/spreadsheetml/2006/main" count="131" uniqueCount="56">
  <si>
    <t>口径</t>
    <phoneticPr fontId="2"/>
  </si>
  <si>
    <t>基本料金</t>
    <rPh sb="0" eb="2">
      <t>キホン</t>
    </rPh>
    <rPh sb="2" eb="4">
      <t>リョウキン</t>
    </rPh>
    <phoneticPr fontId="2"/>
  </si>
  <si>
    <t>-</t>
    <phoneticPr fontId="2"/>
  </si>
  <si>
    <t>口径</t>
    <rPh sb="0" eb="2">
      <t>コウケイ</t>
    </rPh>
    <phoneticPr fontId="2"/>
  </si>
  <si>
    <t>使用水量</t>
    <rPh sb="0" eb="2">
      <t>シヨウ</t>
    </rPh>
    <rPh sb="2" eb="4">
      <t>スイリョウ</t>
    </rPh>
    <phoneticPr fontId="2"/>
  </si>
  <si>
    <t>改定率</t>
    <rPh sb="0" eb="2">
      <t>カイテイ</t>
    </rPh>
    <rPh sb="2" eb="3">
      <t>リツ</t>
    </rPh>
    <phoneticPr fontId="2"/>
  </si>
  <si>
    <t>旧料金</t>
    <rPh sb="0" eb="3">
      <t>キュウリョウキン</t>
    </rPh>
    <phoneticPr fontId="2"/>
  </si>
  <si>
    <t>影響額</t>
    <rPh sb="0" eb="2">
      <t>エイキョウ</t>
    </rPh>
    <rPh sb="2" eb="3">
      <t>ガク</t>
    </rPh>
    <phoneticPr fontId="2"/>
  </si>
  <si>
    <t>水量</t>
    <rPh sb="0" eb="1">
      <t>スイ</t>
    </rPh>
    <rPh sb="1" eb="2">
      <t>リョウ</t>
    </rPh>
    <phoneticPr fontId="2"/>
  </si>
  <si>
    <t>階層別</t>
    <rPh sb="0" eb="2">
      <t>カイソウ</t>
    </rPh>
    <rPh sb="2" eb="3">
      <t>ベツ</t>
    </rPh>
    <phoneticPr fontId="2"/>
  </si>
  <si>
    <t>21～40㎥</t>
  </si>
  <si>
    <t>41～60㎥</t>
  </si>
  <si>
    <t>61～100㎥</t>
  </si>
  <si>
    <t>101～200㎥</t>
  </si>
  <si>
    <t>201～400㎥</t>
  </si>
  <si>
    <t>401～1000㎥</t>
  </si>
  <si>
    <t>階層別水量</t>
    <phoneticPr fontId="2"/>
  </si>
  <si>
    <t>料金</t>
    <phoneticPr fontId="2"/>
  </si>
  <si>
    <t>（超過）</t>
    <phoneticPr fontId="2"/>
  </si>
  <si>
    <t>従量</t>
    <phoneticPr fontId="2"/>
  </si>
  <si>
    <t>（税抜額）</t>
    <phoneticPr fontId="2"/>
  </si>
  <si>
    <t>改定率</t>
    <rPh sb="0" eb="2">
      <t>カイテイ</t>
    </rPh>
    <rPh sb="2" eb="3">
      <t>リツ</t>
    </rPh>
    <phoneticPr fontId="2"/>
  </si>
  <si>
    <t>従量</t>
    <phoneticPr fontId="2"/>
  </si>
  <si>
    <t>（超過）</t>
    <phoneticPr fontId="2"/>
  </si>
  <si>
    <t>料金</t>
    <phoneticPr fontId="2"/>
  </si>
  <si>
    <t>旧料金</t>
    <rPh sb="0" eb="1">
      <t>キュウ</t>
    </rPh>
    <rPh sb="1" eb="3">
      <t>リョウキン</t>
    </rPh>
    <phoneticPr fontId="2"/>
  </si>
  <si>
    <t>新料金</t>
    <rPh sb="0" eb="1">
      <t>シン</t>
    </rPh>
    <rPh sb="1" eb="3">
      <t>リョウキン</t>
    </rPh>
    <phoneticPr fontId="2"/>
  </si>
  <si>
    <t>201㎥～</t>
    <phoneticPr fontId="2"/>
  </si>
  <si>
    <t>1001㎥～</t>
    <phoneticPr fontId="2"/>
  </si>
  <si>
    <t>（税抜額）</t>
  </si>
  <si>
    <t>　新料金</t>
    <rPh sb="1" eb="4">
      <t>シンリョウキン</t>
    </rPh>
    <phoneticPr fontId="2"/>
  </si>
  <si>
    <t>口径</t>
  </si>
  <si>
    <t>影響額</t>
    <rPh sb="0" eb="2">
      <t>エイキョウ</t>
    </rPh>
    <rPh sb="2" eb="3">
      <t>ガク</t>
    </rPh>
    <phoneticPr fontId="2"/>
  </si>
  <si>
    <t>改定率</t>
    <rPh sb="0" eb="2">
      <t>カイテイ</t>
    </rPh>
    <rPh sb="2" eb="3">
      <t>リツ</t>
    </rPh>
    <phoneticPr fontId="2"/>
  </si>
  <si>
    <t>1～20㎥</t>
    <phoneticPr fontId="2"/>
  </si>
  <si>
    <t>従量</t>
  </si>
  <si>
    <t>（超過）</t>
  </si>
  <si>
    <t>料金</t>
  </si>
  <si>
    <t>階層別水量</t>
  </si>
  <si>
    <t>1～10㎥</t>
    <phoneticPr fontId="2"/>
  </si>
  <si>
    <t>11～20㎥</t>
    <phoneticPr fontId="2"/>
  </si>
  <si>
    <t>21～30㎥</t>
    <phoneticPr fontId="2"/>
  </si>
  <si>
    <t>101～200㎥</t>
    <phoneticPr fontId="2"/>
  </si>
  <si>
    <t>31～50㎥</t>
    <phoneticPr fontId="2"/>
  </si>
  <si>
    <t>51～100㎥</t>
    <phoneticPr fontId="2"/>
  </si>
  <si>
    <t>101㎥～</t>
    <phoneticPr fontId="2"/>
  </si>
  <si>
    <t>21～30㎥</t>
    <phoneticPr fontId="2"/>
  </si>
  <si>
    <t>51～100㎥</t>
    <phoneticPr fontId="2"/>
  </si>
  <si>
    <t>201～500㎥</t>
    <phoneticPr fontId="2"/>
  </si>
  <si>
    <t>501㎥～</t>
    <phoneticPr fontId="2"/>
  </si>
  <si>
    <r>
      <t>（</t>
    </r>
    <r>
      <rPr>
        <sz val="11"/>
        <color rgb="FFFF0000"/>
        <rFont val="メイリオ"/>
        <family val="3"/>
        <charset val="128"/>
      </rPr>
      <t>２</t>
    </r>
    <r>
      <rPr>
        <sz val="11"/>
        <color theme="1"/>
        <rFont val="メイリオ"/>
        <family val="3"/>
        <charset val="128"/>
      </rPr>
      <t>ヶ月当り）</t>
    </r>
    <phoneticPr fontId="2"/>
  </si>
  <si>
    <r>
      <t>（</t>
    </r>
    <r>
      <rPr>
        <sz val="11"/>
        <color rgb="FFFF0000"/>
        <rFont val="メイリオ"/>
        <family val="3"/>
        <charset val="128"/>
      </rPr>
      <t>1</t>
    </r>
    <r>
      <rPr>
        <sz val="11"/>
        <color theme="1"/>
        <rFont val="メイリオ"/>
        <family val="3"/>
        <charset val="128"/>
      </rPr>
      <t>ヶ月当り）</t>
    </r>
    <phoneticPr fontId="2"/>
  </si>
  <si>
    <t>１ヶ月当り</t>
    <rPh sb="2" eb="3">
      <t>ゲツ</t>
    </rPh>
    <rPh sb="3" eb="4">
      <t>アタ</t>
    </rPh>
    <phoneticPr fontId="2"/>
  </si>
  <si>
    <t>１ヶ月当り</t>
    <phoneticPr fontId="2"/>
  </si>
  <si>
    <t>２ヶ月当り</t>
    <phoneticPr fontId="2"/>
  </si>
  <si>
    <t>２ヶ月当り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</si>
</sst>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&quot;㎥&quot;"/>
    <numFmt numFmtId="177" formatCode="#,##0&quot;円&quot;"/>
    <numFmt numFmtId="178" formatCode="&quot;φ&quot;0"/>
    <numFmt numFmtId="179" formatCode="&quot;料金&quot;0%&quot;程度&quot;"/>
    <numFmt numFmtId="180" formatCode="#,##0&quot;㎥ ~&quot;"/>
    <numFmt numFmtId="181" formatCode="0%&quot;を含みます。&quot;"/>
    <numFmt numFmtId="182" formatCode="&quot;（&quot;0%&quot;）&quot;"/>
    <numFmt numFmtId="183" formatCode="\+\ 0.00%;\-\ 0.00%"/>
    <numFmt numFmtId="184" formatCode="\+\ #,##0&quot;円&quot;;\-\ #,##0&quot;円&quot;"/>
    <numFmt numFmtId="185" formatCode="\+\ #,##0&quot;円&quot;;\△\ #,##0&quot;円&quot;"/>
    <numFmt numFmtId="186" formatCode="\+\ 0.00%;\△\ 0.00%"/>
    <numFmt numFmtId="187" formatCode="\+\ #,##0&quot;円&quot;;\▲\ #,##0&quot;円&quot;"/>
    <numFmt numFmtId="188" formatCode="\+\ 0.00%;\▲\ 0.00%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color theme="0"/>
      <name val="HG丸ｺﾞｼｯｸM-PRO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5"/>
      </right>
      <top/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5"/>
      </right>
      <top style="hair">
        <color indexed="64"/>
      </top>
      <bottom style="hair">
        <color indexed="64"/>
      </bottom>
      <diagonal/>
    </border>
    <border>
      <left style="medium">
        <color theme="5"/>
      </left>
      <right style="medium">
        <color theme="5"/>
      </right>
      <top style="thin">
        <color theme="5"/>
      </top>
      <bottom style="hair">
        <color theme="5"/>
      </bottom>
      <diagonal/>
    </border>
    <border>
      <left style="medium">
        <color theme="5"/>
      </left>
      <right style="medium">
        <color theme="5"/>
      </right>
      <top style="hair">
        <color theme="5"/>
      </top>
      <bottom style="hair">
        <color theme="5"/>
      </bottom>
      <diagonal/>
    </border>
    <border>
      <left style="medium">
        <color theme="5"/>
      </left>
      <right style="medium">
        <color theme="5"/>
      </right>
      <top style="hair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theme="5"/>
      </left>
      <right style="medium">
        <color theme="5"/>
      </right>
      <top style="hair">
        <color theme="5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5"/>
      </left>
      <right/>
      <top/>
      <bottom style="hair">
        <color indexed="64"/>
      </bottom>
      <diagonal/>
    </border>
    <border diagonalUp="1">
      <left style="medium">
        <color theme="5"/>
      </left>
      <right/>
      <top style="thin">
        <color indexed="64"/>
      </top>
      <bottom style="hair">
        <color indexed="64"/>
      </bottom>
      <diagonal style="hair">
        <color theme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theme="1"/>
      </diagonal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5"/>
      </right>
      <top style="hair">
        <color indexed="64"/>
      </top>
      <bottom style="medium">
        <color indexed="64"/>
      </bottom>
      <diagonal/>
    </border>
    <border>
      <left style="medium">
        <color theme="5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theme="5"/>
      </left>
      <right style="medium">
        <color theme="5"/>
      </right>
      <top style="hair">
        <color indexed="64"/>
      </top>
      <bottom style="medium">
        <color theme="5"/>
      </bottom>
      <diagonal/>
    </border>
    <border>
      <left style="medium">
        <color theme="5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5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4" borderId="0" xfId="0" applyFont="1" applyFill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7" fillId="4" borderId="0" xfId="0" applyFont="1" applyFill="1" applyBorder="1" applyProtection="1">
      <alignment vertical="center"/>
      <protection hidden="1"/>
    </xf>
    <xf numFmtId="0" fontId="3" fillId="2" borderId="3" xfId="0" applyFont="1" applyFill="1" applyBorder="1" applyProtection="1">
      <alignment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20" xfId="0" applyFont="1" applyFill="1" applyBorder="1" applyProtection="1">
      <alignment vertical="center"/>
      <protection hidden="1"/>
    </xf>
    <xf numFmtId="0" fontId="3" fillId="2" borderId="17" xfId="0" applyFont="1" applyFill="1" applyBorder="1" applyAlignment="1" applyProtection="1">
      <alignment horizontal="distributed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178" fontId="3" fillId="2" borderId="1" xfId="0" applyNumberFormat="1" applyFont="1" applyFill="1" applyBorder="1" applyAlignment="1" applyProtection="1">
      <alignment horizontal="center" vertical="center"/>
      <protection hidden="1"/>
    </xf>
    <xf numFmtId="178" fontId="3" fillId="2" borderId="5" xfId="0" applyNumberFormat="1" applyFont="1" applyFill="1" applyBorder="1" applyAlignment="1" applyProtection="1">
      <alignment horizontal="center" vertical="center"/>
      <protection hidden="1"/>
    </xf>
    <xf numFmtId="176" fontId="3" fillId="2" borderId="14" xfId="0" applyNumberFormat="1" applyFont="1" applyFill="1" applyBorder="1" applyAlignment="1" applyProtection="1">
      <alignment horizontal="center" vertical="center"/>
      <protection hidden="1"/>
    </xf>
    <xf numFmtId="176" fontId="3" fillId="2" borderId="4" xfId="0" applyNumberFormat="1" applyFont="1" applyFill="1" applyBorder="1" applyAlignment="1" applyProtection="1">
      <alignment horizontal="center" vertical="center"/>
      <protection hidden="1"/>
    </xf>
    <xf numFmtId="178" fontId="3" fillId="2" borderId="6" xfId="0" applyNumberFormat="1" applyFont="1" applyFill="1" applyBorder="1" applyAlignment="1" applyProtection="1">
      <alignment horizontal="center" vertical="center"/>
      <protection hidden="1"/>
    </xf>
    <xf numFmtId="177" fontId="3" fillId="0" borderId="2" xfId="1" applyNumberFormat="1" applyFont="1" applyFill="1" applyBorder="1" applyProtection="1">
      <alignment vertical="center"/>
      <protection hidden="1"/>
    </xf>
    <xf numFmtId="0" fontId="3" fillId="6" borderId="0" xfId="0" applyFont="1" applyFill="1" applyBorder="1" applyProtection="1">
      <alignment vertical="center"/>
      <protection hidden="1"/>
    </xf>
    <xf numFmtId="177" fontId="3" fillId="0" borderId="22" xfId="1" applyNumberFormat="1" applyFont="1" applyFill="1" applyBorder="1" applyProtection="1">
      <alignment vertical="center"/>
      <protection hidden="1"/>
    </xf>
    <xf numFmtId="177" fontId="3" fillId="0" borderId="23" xfId="1" applyNumberFormat="1" applyFont="1" applyFill="1" applyBorder="1" applyProtection="1">
      <alignment vertical="center"/>
      <protection hidden="1"/>
    </xf>
    <xf numFmtId="176" fontId="3" fillId="2" borderId="15" xfId="0" applyNumberFormat="1" applyFont="1" applyFill="1" applyBorder="1" applyAlignment="1" applyProtection="1">
      <alignment horizontal="center" vertical="center"/>
      <protection hidden="1"/>
    </xf>
    <xf numFmtId="177" fontId="5" fillId="5" borderId="24" xfId="1" applyNumberFormat="1" applyFont="1" applyFill="1" applyBorder="1" applyProtection="1">
      <alignment vertical="center"/>
      <protection hidden="1"/>
    </xf>
    <xf numFmtId="177" fontId="5" fillId="5" borderId="25" xfId="1" applyNumberFormat="1" applyFont="1" applyFill="1" applyBorder="1" applyProtection="1">
      <alignment vertical="center"/>
      <protection hidden="1"/>
    </xf>
    <xf numFmtId="177" fontId="5" fillId="5" borderId="26" xfId="1" applyNumberFormat="1" applyFont="1" applyFill="1" applyBorder="1" applyProtection="1">
      <alignment vertical="center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3" fillId="2" borderId="29" xfId="0" applyFont="1" applyFill="1" applyBorder="1" applyAlignment="1" applyProtection="1">
      <alignment horizontal="center" vertical="center"/>
      <protection hidden="1"/>
    </xf>
    <xf numFmtId="10" fontId="12" fillId="4" borderId="0" xfId="0" applyNumberFormat="1" applyFont="1" applyFill="1" applyBorder="1" applyProtection="1">
      <alignment vertical="center"/>
      <protection hidden="1"/>
    </xf>
    <xf numFmtId="0" fontId="13" fillId="4" borderId="0" xfId="0" applyFont="1" applyFill="1" applyBorder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right" vertical="top"/>
      <protection hidden="1"/>
    </xf>
    <xf numFmtId="181" fontId="15" fillId="4" borderId="0" xfId="2" applyNumberFormat="1" applyFont="1" applyFill="1" applyBorder="1" applyAlignment="1" applyProtection="1">
      <alignment horizontal="left" vertical="top"/>
      <protection hidden="1"/>
    </xf>
    <xf numFmtId="0" fontId="16" fillId="4" borderId="0" xfId="0" applyFont="1" applyFill="1" applyBorder="1" applyAlignment="1" applyProtection="1">
      <alignment horizontal="center" wrapText="1"/>
      <protection hidden="1"/>
    </xf>
    <xf numFmtId="0" fontId="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7" fillId="4" borderId="0" xfId="0" applyFont="1" applyFill="1" applyBorder="1" applyProtection="1">
      <alignment vertical="center"/>
      <protection hidden="1"/>
    </xf>
    <xf numFmtId="0" fontId="18" fillId="4" borderId="0" xfId="0" applyFont="1" applyFill="1" applyBorder="1" applyProtection="1">
      <alignment vertical="center"/>
      <protection hidden="1"/>
    </xf>
    <xf numFmtId="0" fontId="15" fillId="4" borderId="0" xfId="0" applyFont="1" applyFill="1" applyBorder="1" applyProtection="1">
      <alignment vertical="center"/>
      <protection hidden="1"/>
    </xf>
    <xf numFmtId="0" fontId="10" fillId="4" borderId="0" xfId="0" applyFont="1" applyFill="1" applyBorder="1" applyProtection="1">
      <alignment vertical="center"/>
      <protection hidden="1"/>
    </xf>
    <xf numFmtId="0" fontId="13" fillId="4" borderId="0" xfId="0" applyFont="1" applyFill="1" applyBorder="1" applyAlignment="1" applyProtection="1">
      <alignment horizontal="left"/>
      <protection hidden="1"/>
    </xf>
    <xf numFmtId="0" fontId="10" fillId="4" borderId="0" xfId="0" applyFont="1" applyFill="1" applyBorder="1" applyAlignment="1" applyProtection="1">
      <alignment horizontal="right"/>
      <protection hidden="1"/>
    </xf>
    <xf numFmtId="0" fontId="17" fillId="4" borderId="0" xfId="0" applyFont="1" applyFill="1" applyBorder="1" applyAlignment="1" applyProtection="1"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178" fontId="13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4" borderId="0" xfId="0" applyFont="1" applyFill="1" applyBorder="1" applyAlignment="1" applyProtection="1">
      <protection hidden="1"/>
    </xf>
    <xf numFmtId="0" fontId="15" fillId="4" borderId="0" xfId="0" applyFont="1" applyFill="1" applyBorder="1" applyAlignment="1" applyProtection="1">
      <alignment horizontal="center" wrapText="1"/>
      <protection hidden="1"/>
    </xf>
    <xf numFmtId="0" fontId="10" fillId="4" borderId="0" xfId="0" applyFont="1" applyFill="1" applyBorder="1" applyAlignment="1" applyProtection="1">
      <alignment horizontal="center"/>
      <protection hidden="1"/>
    </xf>
    <xf numFmtId="177" fontId="15" fillId="4" borderId="0" xfId="0" applyNumberFormat="1" applyFont="1" applyFill="1" applyBorder="1" applyProtection="1">
      <alignment vertical="center"/>
      <protection hidden="1"/>
    </xf>
    <xf numFmtId="0" fontId="16" fillId="4" borderId="0" xfId="0" applyFont="1" applyFill="1" applyBorder="1" applyProtection="1">
      <alignment vertical="center"/>
      <protection hidden="1"/>
    </xf>
    <xf numFmtId="0" fontId="20" fillId="4" borderId="0" xfId="0" applyFont="1" applyFill="1" applyBorder="1" applyAlignment="1" applyProtection="1">
      <alignment horizontal="center"/>
      <protection hidden="1"/>
    </xf>
    <xf numFmtId="0" fontId="20" fillId="4" borderId="0" xfId="0" applyFont="1" applyFill="1" applyBorder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0" fontId="12" fillId="4" borderId="0" xfId="0" applyNumberFormat="1" applyFont="1" applyFill="1" applyBorder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15" fillId="4" borderId="0" xfId="0" applyFont="1" applyFill="1" applyBorder="1" applyAlignment="1" applyProtection="1">
      <alignment horizontal="right"/>
      <protection hidden="1"/>
    </xf>
    <xf numFmtId="178" fontId="13" fillId="4" borderId="0" xfId="0" applyNumberFormat="1" applyFont="1" applyFill="1" applyBorder="1" applyAlignment="1" applyProtection="1">
      <alignment horizontal="left" vertical="center" wrapText="1"/>
      <protection hidden="1"/>
    </xf>
    <xf numFmtId="182" fontId="21" fillId="4" borderId="0" xfId="2" applyNumberFormat="1" applyFont="1" applyFill="1" applyBorder="1" applyAlignment="1" applyProtection="1">
      <alignment horizontal="left"/>
      <protection hidden="1"/>
    </xf>
    <xf numFmtId="0" fontId="19" fillId="4" borderId="0" xfId="0" applyFont="1" applyFill="1" applyBorder="1" applyAlignment="1" applyProtection="1">
      <alignment horizontal="center"/>
      <protection hidden="1"/>
    </xf>
    <xf numFmtId="38" fontId="15" fillId="4" borderId="0" xfId="1" applyFont="1" applyFill="1" applyBorder="1" applyProtection="1">
      <alignment vertical="center"/>
      <protection hidden="1"/>
    </xf>
    <xf numFmtId="177" fontId="15" fillId="4" borderId="0" xfId="1" applyNumberFormat="1" applyFont="1" applyFill="1" applyBorder="1" applyProtection="1">
      <alignment vertical="center"/>
      <protection hidden="1"/>
    </xf>
    <xf numFmtId="177" fontId="19" fillId="4" borderId="0" xfId="1" applyNumberFormat="1" applyFont="1" applyFill="1" applyBorder="1" applyProtection="1">
      <alignment vertical="center"/>
      <protection hidden="1"/>
    </xf>
    <xf numFmtId="178" fontId="16" fillId="3" borderId="11" xfId="2" applyNumberFormat="1" applyFont="1" applyFill="1" applyBorder="1" applyAlignment="1" applyProtection="1">
      <alignment horizontal="center" vertical="center"/>
      <protection locked="0" hidden="1"/>
    </xf>
    <xf numFmtId="176" fontId="16" fillId="3" borderId="9" xfId="2" applyNumberFormat="1" applyFont="1" applyFill="1" applyBorder="1" applyAlignment="1" applyProtection="1">
      <alignment horizontal="center" vertical="center"/>
      <protection locked="0"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177" fontId="22" fillId="4" borderId="0" xfId="0" applyNumberFormat="1" applyFont="1" applyFill="1" applyBorder="1" applyProtection="1">
      <alignment vertical="center"/>
      <protection hidden="1"/>
    </xf>
    <xf numFmtId="177" fontId="19" fillId="4" borderId="0" xfId="0" applyNumberFormat="1" applyFont="1" applyFill="1" applyBorder="1" applyProtection="1">
      <alignment vertical="center"/>
      <protection hidden="1"/>
    </xf>
    <xf numFmtId="184" fontId="11" fillId="4" borderId="0" xfId="0" applyNumberFormat="1" applyFont="1" applyFill="1" applyBorder="1" applyAlignment="1" applyProtection="1">
      <alignment horizontal="left"/>
      <protection hidden="1"/>
    </xf>
    <xf numFmtId="184" fontId="12" fillId="4" borderId="0" xfId="0" applyNumberFormat="1" applyFont="1" applyFill="1" applyBorder="1" applyProtection="1">
      <alignment vertical="center"/>
      <protection hidden="1"/>
    </xf>
    <xf numFmtId="184" fontId="10" fillId="4" borderId="0" xfId="0" applyNumberFormat="1" applyFont="1" applyFill="1" applyBorder="1" applyAlignment="1" applyProtection="1">
      <alignment horizontal="center"/>
      <protection hidden="1"/>
    </xf>
    <xf numFmtId="177" fontId="3" fillId="0" borderId="30" xfId="1" applyNumberFormat="1" applyFont="1" applyFill="1" applyBorder="1" applyProtection="1">
      <alignment vertical="center"/>
      <protection hidden="1"/>
    </xf>
    <xf numFmtId="177" fontId="3" fillId="0" borderId="31" xfId="1" applyNumberFormat="1" applyFont="1" applyFill="1" applyBorder="1" applyProtection="1">
      <alignment vertical="center"/>
      <protection hidden="1"/>
    </xf>
    <xf numFmtId="177" fontId="5" fillId="5" borderId="32" xfId="1" applyNumberFormat="1" applyFont="1" applyFill="1" applyBorder="1" applyProtection="1">
      <alignment vertical="center"/>
      <protection hidden="1"/>
    </xf>
    <xf numFmtId="0" fontId="3" fillId="2" borderId="10" xfId="0" applyFont="1" applyFill="1" applyBorder="1" applyAlignment="1" applyProtection="1">
      <alignment horizontal="right" vertical="center"/>
      <protection hidden="1"/>
    </xf>
    <xf numFmtId="0" fontId="3" fillId="2" borderId="10" xfId="0" applyFont="1" applyFill="1" applyBorder="1" applyAlignment="1" applyProtection="1">
      <alignment horizontal="left" vertical="center"/>
      <protection hidden="1"/>
    </xf>
    <xf numFmtId="0" fontId="3" fillId="2" borderId="12" xfId="0" applyFont="1" applyFill="1" applyBorder="1" applyAlignment="1" applyProtection="1">
      <alignment horizontal="left" vertical="center"/>
      <protection hidden="1"/>
    </xf>
    <xf numFmtId="0" fontId="6" fillId="2" borderId="35" xfId="0" applyFont="1" applyFill="1" applyBorder="1" applyAlignment="1" applyProtection="1">
      <alignment horizontal="center" vertical="center" wrapText="1"/>
      <protection hidden="1"/>
    </xf>
    <xf numFmtId="177" fontId="3" fillId="0" borderId="37" xfId="1" applyNumberFormat="1" applyFont="1" applyFill="1" applyBorder="1" applyProtection="1">
      <alignment vertical="center"/>
      <protection hidden="1"/>
    </xf>
    <xf numFmtId="179" fontId="4" fillId="2" borderId="18" xfId="2" applyNumberFormat="1" applyFont="1" applyFill="1" applyBorder="1" applyAlignment="1" applyProtection="1">
      <alignment horizontal="center" vertical="center"/>
      <protection hidden="1"/>
    </xf>
    <xf numFmtId="177" fontId="3" fillId="0" borderId="38" xfId="1" applyNumberFormat="1" applyFont="1" applyFill="1" applyBorder="1" applyProtection="1">
      <alignment vertical="center"/>
      <protection hidden="1"/>
    </xf>
    <xf numFmtId="177" fontId="3" fillId="0" borderId="39" xfId="1" applyNumberFormat="1" applyFont="1" applyFill="1" applyBorder="1" applyProtection="1">
      <alignment vertical="center"/>
      <protection hidden="1"/>
    </xf>
    <xf numFmtId="177" fontId="3" fillId="0" borderId="41" xfId="1" applyNumberFormat="1" applyFont="1" applyFill="1" applyBorder="1" applyProtection="1">
      <alignment vertical="center"/>
      <protection hidden="1"/>
    </xf>
    <xf numFmtId="177" fontId="3" fillId="0" borderId="42" xfId="1" applyNumberFormat="1" applyFont="1" applyFill="1" applyBorder="1" applyProtection="1">
      <alignment vertical="center"/>
      <protection hidden="1"/>
    </xf>
    <xf numFmtId="183" fontId="3" fillId="0" borderId="33" xfId="1" applyNumberFormat="1" applyFont="1" applyFill="1" applyBorder="1" applyProtection="1">
      <alignment vertical="center"/>
      <protection hidden="1"/>
    </xf>
    <xf numFmtId="183" fontId="3" fillId="0" borderId="34" xfId="1" applyNumberFormat="1" applyFont="1" applyFill="1" applyBorder="1" applyProtection="1">
      <alignment vertical="center"/>
      <protection hidden="1"/>
    </xf>
    <xf numFmtId="177" fontId="5" fillId="5" borderId="43" xfId="1" applyNumberFormat="1" applyFont="1" applyFill="1" applyBorder="1" applyProtection="1">
      <alignment vertical="center"/>
      <protection hidden="1"/>
    </xf>
    <xf numFmtId="0" fontId="15" fillId="7" borderId="0" xfId="0" applyFont="1" applyFill="1" applyBorder="1" applyProtection="1">
      <alignment vertical="center"/>
      <protection hidden="1"/>
    </xf>
    <xf numFmtId="0" fontId="14" fillId="7" borderId="0" xfId="0" applyFont="1" applyFill="1" applyBorder="1" applyAlignment="1" applyProtection="1">
      <alignment horizontal="center"/>
      <protection hidden="1"/>
    </xf>
    <xf numFmtId="0" fontId="20" fillId="7" borderId="0" xfId="0" applyFont="1" applyFill="1" applyBorder="1" applyProtection="1">
      <alignment vertical="center"/>
      <protection hidden="1"/>
    </xf>
    <xf numFmtId="0" fontId="24" fillId="7" borderId="0" xfId="0" applyFont="1" applyFill="1" applyBorder="1" applyAlignment="1" applyProtection="1">
      <protection hidden="1"/>
    </xf>
    <xf numFmtId="177" fontId="3" fillId="0" borderId="40" xfId="1" applyNumberFormat="1" applyFont="1" applyFill="1" applyBorder="1" applyProtection="1">
      <alignment vertical="center"/>
      <protection hidden="1"/>
    </xf>
    <xf numFmtId="177" fontId="5" fillId="5" borderId="27" xfId="1" applyNumberFormat="1" applyFont="1" applyFill="1" applyBorder="1" applyProtection="1">
      <alignment vertical="center"/>
      <protection hidden="1"/>
    </xf>
    <xf numFmtId="178" fontId="3" fillId="2" borderId="45" xfId="0" applyNumberFormat="1" applyFont="1" applyFill="1" applyBorder="1" applyAlignment="1" applyProtection="1">
      <alignment horizontal="center" vertical="center"/>
      <protection hidden="1"/>
    </xf>
    <xf numFmtId="176" fontId="3" fillId="2" borderId="46" xfId="0" applyNumberFormat="1" applyFont="1" applyFill="1" applyBorder="1" applyAlignment="1" applyProtection="1">
      <alignment horizontal="center" vertical="center"/>
      <protection hidden="1"/>
    </xf>
    <xf numFmtId="177" fontId="3" fillId="0" borderId="47" xfId="1" applyNumberFormat="1" applyFont="1" applyFill="1" applyBorder="1" applyProtection="1">
      <alignment vertical="center"/>
      <protection hidden="1"/>
    </xf>
    <xf numFmtId="0" fontId="24" fillId="6" borderId="0" xfId="0" applyFont="1" applyFill="1" applyBorder="1" applyAlignment="1" applyProtection="1">
      <protection hidden="1"/>
    </xf>
    <xf numFmtId="0" fontId="15" fillId="6" borderId="0" xfId="0" applyFont="1" applyFill="1" applyBorder="1" applyProtection="1">
      <alignment vertical="center"/>
      <protection hidden="1"/>
    </xf>
    <xf numFmtId="0" fontId="14" fillId="6" borderId="0" xfId="0" applyFont="1" applyFill="1" applyBorder="1" applyAlignment="1" applyProtection="1">
      <alignment horizontal="center"/>
      <protection hidden="1"/>
    </xf>
    <xf numFmtId="0" fontId="20" fillId="6" borderId="0" xfId="0" applyFont="1" applyFill="1" applyBorder="1" applyProtection="1">
      <alignment vertical="center"/>
      <protection hidden="1"/>
    </xf>
    <xf numFmtId="186" fontId="20" fillId="4" borderId="0" xfId="0" applyNumberFormat="1" applyFont="1" applyFill="1" applyBorder="1" applyProtection="1">
      <alignment vertical="center"/>
      <protection hidden="1"/>
    </xf>
    <xf numFmtId="186" fontId="3" fillId="0" borderId="36" xfId="1" applyNumberFormat="1" applyFont="1" applyFill="1" applyBorder="1" applyProtection="1">
      <alignment vertical="center"/>
      <protection hidden="1"/>
    </xf>
    <xf numFmtId="186" fontId="3" fillId="0" borderId="33" xfId="1" applyNumberFormat="1" applyFont="1" applyFill="1" applyBorder="1" applyProtection="1">
      <alignment vertical="center"/>
      <protection hidden="1"/>
    </xf>
    <xf numFmtId="186" fontId="3" fillId="0" borderId="34" xfId="1" applyNumberFormat="1" applyFont="1" applyFill="1" applyBorder="1" applyProtection="1">
      <alignment vertical="center"/>
      <protection hidden="1"/>
    </xf>
    <xf numFmtId="186" fontId="3" fillId="0" borderId="9" xfId="1" applyNumberFormat="1" applyFont="1" applyFill="1" applyBorder="1" applyProtection="1">
      <alignment vertical="center"/>
      <protection hidden="1"/>
    </xf>
    <xf numFmtId="185" fontId="3" fillId="0" borderId="44" xfId="1" applyNumberFormat="1" applyFont="1" applyFill="1" applyBorder="1" applyProtection="1">
      <alignment vertical="center"/>
      <protection hidden="1"/>
    </xf>
    <xf numFmtId="185" fontId="3" fillId="0" borderId="19" xfId="1" applyNumberFormat="1" applyFont="1" applyFill="1" applyBorder="1" applyProtection="1">
      <alignment vertical="center"/>
      <protection hidden="1"/>
    </xf>
    <xf numFmtId="185" fontId="3" fillId="0" borderId="37" xfId="1" applyNumberFormat="1" applyFont="1" applyFill="1" applyBorder="1" applyProtection="1">
      <alignment vertical="center"/>
      <protection hidden="1"/>
    </xf>
    <xf numFmtId="185" fontId="3" fillId="0" borderId="42" xfId="1" applyNumberFormat="1" applyFont="1" applyFill="1" applyBorder="1" applyProtection="1">
      <alignment vertical="center"/>
      <protection hidden="1"/>
    </xf>
    <xf numFmtId="187" fontId="23" fillId="4" borderId="0" xfId="0" applyNumberFormat="1" applyFont="1" applyFill="1" applyBorder="1" applyProtection="1">
      <alignment vertical="center"/>
      <protection hidden="1"/>
    </xf>
    <xf numFmtId="188" fontId="23" fillId="4" borderId="0" xfId="0" applyNumberFormat="1" applyFont="1" applyFill="1" applyBorder="1" applyProtection="1">
      <alignment vertical="center"/>
      <protection hidden="1"/>
    </xf>
    <xf numFmtId="187" fontId="25" fillId="4" borderId="0" xfId="0" applyNumberFormat="1" applyFont="1" applyFill="1" applyBorder="1" applyProtection="1">
      <alignment vertical="center"/>
      <protection hidden="1"/>
    </xf>
    <xf numFmtId="187" fontId="20" fillId="4" borderId="0" xfId="0" applyNumberFormat="1" applyFont="1" applyFill="1" applyBorder="1" applyProtection="1">
      <alignment vertical="center"/>
      <protection hidden="1"/>
    </xf>
    <xf numFmtId="188" fontId="25" fillId="4" borderId="0" xfId="2" applyNumberFormat="1" applyFont="1" applyFill="1" applyBorder="1" applyProtection="1">
      <alignment vertical="center"/>
      <protection hidden="1"/>
    </xf>
    <xf numFmtId="0" fontId="20" fillId="7" borderId="0" xfId="0" applyFont="1" applyFill="1" applyBorder="1" applyAlignment="1" applyProtection="1">
      <protection hidden="1"/>
    </xf>
    <xf numFmtId="0" fontId="26" fillId="4" borderId="0" xfId="0" applyFont="1" applyFill="1" applyProtection="1">
      <alignment vertical="center"/>
      <protection hidden="1"/>
    </xf>
    <xf numFmtId="0" fontId="8" fillId="4" borderId="0" xfId="0" applyFont="1" applyFill="1" applyBorder="1" applyAlignment="1" applyProtection="1"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Protection="1">
      <alignment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Border="1" applyAlignment="1" applyProtection="1">
      <alignment horizontal="distributed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179" fontId="9" fillId="4" borderId="0" xfId="2" applyNumberFormat="1" applyFont="1" applyFill="1" applyBorder="1" applyAlignment="1" applyProtection="1">
      <alignment horizontal="center" vertical="center"/>
      <protection hidden="1"/>
    </xf>
    <xf numFmtId="178" fontId="7" fillId="4" borderId="0" xfId="0" applyNumberFormat="1" applyFont="1" applyFill="1" applyBorder="1" applyAlignment="1" applyProtection="1">
      <alignment horizontal="center" vertical="center"/>
      <protection hidden="1"/>
    </xf>
    <xf numFmtId="177" fontId="7" fillId="4" borderId="0" xfId="1" applyNumberFormat="1" applyFont="1" applyFill="1" applyBorder="1" applyProtection="1">
      <alignment vertical="center"/>
      <protection hidden="1"/>
    </xf>
    <xf numFmtId="177" fontId="9" fillId="4" borderId="0" xfId="1" applyNumberFormat="1" applyFont="1" applyFill="1" applyBorder="1" applyProtection="1">
      <alignment vertical="center"/>
      <protection hidden="1"/>
    </xf>
    <xf numFmtId="176" fontId="7" fillId="4" borderId="0" xfId="0" applyNumberFormat="1" applyFont="1" applyFill="1" applyBorder="1" applyAlignment="1" applyProtection="1">
      <alignment horizontal="center" vertical="center"/>
      <protection hidden="1"/>
    </xf>
    <xf numFmtId="180" fontId="7" fillId="4" borderId="0" xfId="0" applyNumberFormat="1" applyFont="1" applyFill="1" applyBorder="1" applyAlignment="1" applyProtection="1">
      <alignment horizontal="right" vertical="center"/>
      <protection hidden="1"/>
    </xf>
    <xf numFmtId="176" fontId="7" fillId="4" borderId="0" xfId="0" applyNumberFormat="1" applyFont="1" applyFill="1" applyBorder="1" applyAlignment="1" applyProtection="1">
      <alignment horizontal="left" vertical="center"/>
      <protection hidden="1"/>
    </xf>
    <xf numFmtId="0" fontId="14" fillId="4" borderId="0" xfId="0" applyFont="1" applyFill="1" applyBorder="1" applyAlignment="1" applyProtection="1">
      <alignment horizontal="right"/>
      <protection hidden="1"/>
    </xf>
    <xf numFmtId="177" fontId="9" fillId="4" borderId="0" xfId="1" applyNumberFormat="1" applyFont="1" applyFill="1" applyBorder="1" applyAlignment="1" applyProtection="1">
      <alignment horizontal="right" vertical="center"/>
      <protection hidden="1"/>
    </xf>
    <xf numFmtId="176" fontId="7" fillId="4" borderId="0" xfId="0" applyNumberFormat="1" applyFont="1" applyFill="1" applyBorder="1" applyAlignment="1" applyProtection="1">
      <alignment vertical="center"/>
      <protection hidden="1"/>
    </xf>
    <xf numFmtId="177" fontId="7" fillId="4" borderId="0" xfId="0" applyNumberFormat="1" applyFont="1" applyFill="1" applyBorder="1" applyProtection="1">
      <alignment vertical="center"/>
      <protection hidden="1"/>
    </xf>
    <xf numFmtId="0" fontId="28" fillId="4" borderId="7" xfId="0" applyFont="1" applyFill="1" applyBorder="1" applyAlignment="1" applyProtection="1">
      <alignment horizontal="center" vertical="center"/>
      <protection hidden="1"/>
    </xf>
    <xf numFmtId="0" fontId="27" fillId="4" borderId="8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Protection="1">
      <alignment vertical="center"/>
      <protection hidden="1"/>
    </xf>
    <xf numFmtId="177" fontId="3" fillId="4" borderId="0" xfId="0" applyNumberFormat="1" applyFont="1" applyFill="1" applyBorder="1" applyProtection="1">
      <alignment vertical="center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10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9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8.png"/><Relationship Id="rId5" Type="http://schemas.microsoft.com/office/2007/relationships/hdphoto" Target="../media/hdphoto2.wdp"/><Relationship Id="rId15" Type="http://schemas.openxmlformats.org/officeDocument/2006/relationships/image" Target="../media/image12.png"/><Relationship Id="rId10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openxmlformats.org/officeDocument/2006/relationships/image" Target="../media/image6.pn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8</xdr:row>
      <xdr:rowOff>26276</xdr:rowOff>
    </xdr:from>
    <xdr:to>
      <xdr:col>5</xdr:col>
      <xdr:colOff>1131093</xdr:colOff>
      <xdr:row>8</xdr:row>
      <xdr:rowOff>482203</xdr:rowOff>
    </xdr:to>
    <xdr:sp macro="" textlink="">
      <xdr:nvSpPr>
        <xdr:cNvPr id="2" name="正方形/長方形 1"/>
        <xdr:cNvSpPr/>
      </xdr:nvSpPr>
      <xdr:spPr>
        <a:xfrm>
          <a:off x="3155156" y="2097964"/>
          <a:ext cx="1107281" cy="455927"/>
        </a:xfrm>
        <a:prstGeom prst="rect">
          <a:avLst/>
        </a:prstGeom>
        <a:noFill/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470649</xdr:colOff>
      <xdr:row>13</xdr:row>
      <xdr:rowOff>313764</xdr:rowOff>
    </xdr:from>
    <xdr:to>
      <xdr:col>6</xdr:col>
      <xdr:colOff>946258</xdr:colOff>
      <xdr:row>13</xdr:row>
      <xdr:rowOff>805642</xdr:rowOff>
    </xdr:to>
    <xdr:pic>
      <xdr:nvPicPr>
        <xdr:cNvPr id="512" name="図 5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821" y="3933264"/>
          <a:ext cx="475609" cy="491878"/>
        </a:xfrm>
        <a:prstGeom prst="rect">
          <a:avLst/>
        </a:prstGeom>
      </xdr:spPr>
    </xdr:pic>
    <xdr:clientData/>
  </xdr:twoCellAnchor>
  <xdr:twoCellAnchor>
    <xdr:from>
      <xdr:col>6</xdr:col>
      <xdr:colOff>750794</xdr:colOff>
      <xdr:row>5</xdr:row>
      <xdr:rowOff>313764</xdr:rowOff>
    </xdr:from>
    <xdr:to>
      <xdr:col>12</xdr:col>
      <xdr:colOff>504264</xdr:colOff>
      <xdr:row>11</xdr:row>
      <xdr:rowOff>0</xdr:rowOff>
    </xdr:to>
    <xdr:sp macro="" textlink="">
      <xdr:nvSpPr>
        <xdr:cNvPr id="57" name="角丸四角形 56"/>
        <xdr:cNvSpPr/>
      </xdr:nvSpPr>
      <xdr:spPr>
        <a:xfrm>
          <a:off x="4090147" y="1008529"/>
          <a:ext cx="6387352" cy="2297206"/>
        </a:xfrm>
        <a:prstGeom prst="roundRect">
          <a:avLst>
            <a:gd name="adj" fmla="val 581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77390</xdr:colOff>
      <xdr:row>6</xdr:row>
      <xdr:rowOff>110262</xdr:rowOff>
    </xdr:from>
    <xdr:to>
      <xdr:col>10</xdr:col>
      <xdr:colOff>41412</xdr:colOff>
      <xdr:row>6</xdr:row>
      <xdr:rowOff>386487</xdr:rowOff>
    </xdr:to>
    <xdr:sp macro="" textlink="">
      <xdr:nvSpPr>
        <xdr:cNvPr id="189" name="角丸四角形 188"/>
        <xdr:cNvSpPr/>
      </xdr:nvSpPr>
      <xdr:spPr>
        <a:xfrm>
          <a:off x="6737563" y="1179993"/>
          <a:ext cx="1304849" cy="2762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359848</xdr:colOff>
      <xdr:row>5</xdr:row>
      <xdr:rowOff>246949</xdr:rowOff>
    </xdr:from>
    <xdr:to>
      <xdr:col>6</xdr:col>
      <xdr:colOff>123965</xdr:colOff>
      <xdr:row>6</xdr:row>
      <xdr:rowOff>394519</xdr:rowOff>
    </xdr:to>
    <xdr:sp macro="" textlink="">
      <xdr:nvSpPr>
        <xdr:cNvPr id="3" name="額縁 2"/>
        <xdr:cNvSpPr/>
      </xdr:nvSpPr>
      <xdr:spPr>
        <a:xfrm>
          <a:off x="1026598" y="937512"/>
          <a:ext cx="2437070" cy="516663"/>
        </a:xfrm>
        <a:prstGeom prst="bevel">
          <a:avLst>
            <a:gd name="adj" fmla="val 595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</a:t>
          </a:r>
          <a:r>
            <a:rPr kumimoji="1" lang="ja-JP" altLang="en-US" sz="16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使用者様</a:t>
          </a:r>
          <a:r>
            <a:rPr kumimoji="1" lang="ja-JP" altLang="en-US" sz="14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</a:t>
          </a:r>
          <a:r>
            <a:rPr kumimoji="1" lang="ja-JP" altLang="en-US" sz="16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情報</a:t>
          </a:r>
          <a:r>
            <a:rPr kumimoji="1" lang="ja-JP" altLang="en-US" sz="14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</a:t>
          </a:r>
          <a:r>
            <a:rPr kumimoji="1" lang="ja-JP" altLang="en-US" sz="16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入力</a:t>
          </a:r>
        </a:p>
      </xdr:txBody>
    </xdr:sp>
    <xdr:clientData/>
  </xdr:twoCellAnchor>
  <xdr:twoCellAnchor>
    <xdr:from>
      <xdr:col>4</xdr:col>
      <xdr:colOff>238125</xdr:colOff>
      <xdr:row>6</xdr:row>
      <xdr:rowOff>434582</xdr:rowOff>
    </xdr:from>
    <xdr:to>
      <xdr:col>5</xdr:col>
      <xdr:colOff>838199</xdr:colOff>
      <xdr:row>7</xdr:row>
      <xdr:rowOff>476258</xdr:rowOff>
    </xdr:to>
    <xdr:sp macro="" textlink="">
      <xdr:nvSpPr>
        <xdr:cNvPr id="4" name="ストライプ矢印 3"/>
        <xdr:cNvSpPr/>
      </xdr:nvSpPr>
      <xdr:spPr>
        <a:xfrm rot="5400000">
          <a:off x="1966910" y="991797"/>
          <a:ext cx="547692" cy="1552574"/>
        </a:xfrm>
        <a:prstGeom prst="stripedRight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537880</xdr:colOff>
      <xdr:row>13</xdr:row>
      <xdr:rowOff>394228</xdr:rowOff>
    </xdr:from>
    <xdr:to>
      <xdr:col>10</xdr:col>
      <xdr:colOff>94518</xdr:colOff>
      <xdr:row>13</xdr:row>
      <xdr:rowOff>773206</xdr:rowOff>
    </xdr:to>
    <xdr:sp macro="" textlink="">
      <xdr:nvSpPr>
        <xdr:cNvPr id="15" name="角丸四角形 14"/>
        <xdr:cNvSpPr/>
      </xdr:nvSpPr>
      <xdr:spPr>
        <a:xfrm>
          <a:off x="6992468" y="4013728"/>
          <a:ext cx="901344" cy="37897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6</xdr:row>
      <xdr:rowOff>107897</xdr:rowOff>
    </xdr:from>
    <xdr:to>
      <xdr:col>9</xdr:col>
      <xdr:colOff>7328</xdr:colOff>
      <xdr:row>6</xdr:row>
      <xdr:rowOff>384122</xdr:rowOff>
    </xdr:to>
    <xdr:sp macro="" textlink="">
      <xdr:nvSpPr>
        <xdr:cNvPr id="16" name="角丸四角形 15"/>
        <xdr:cNvSpPr/>
      </xdr:nvSpPr>
      <xdr:spPr>
        <a:xfrm>
          <a:off x="5604363" y="1177628"/>
          <a:ext cx="1063138" cy="276225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1092891</xdr:colOff>
      <xdr:row>5</xdr:row>
      <xdr:rowOff>361861</xdr:rowOff>
    </xdr:from>
    <xdr:to>
      <xdr:col>9</xdr:col>
      <xdr:colOff>184333</xdr:colOff>
      <xdr:row>6</xdr:row>
      <xdr:rowOff>232618</xdr:rowOff>
    </xdr:to>
    <xdr:sp macro="" textlink="">
      <xdr:nvSpPr>
        <xdr:cNvPr id="21" name="図形 20"/>
        <xdr:cNvSpPr/>
      </xdr:nvSpPr>
      <xdr:spPr>
        <a:xfrm rot="2053380">
          <a:off x="6573429" y="1057919"/>
          <a:ext cx="271077" cy="244430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10</xdr:col>
      <xdr:colOff>289892</xdr:colOff>
      <xdr:row>7</xdr:row>
      <xdr:rowOff>380998</xdr:rowOff>
    </xdr:from>
    <xdr:to>
      <xdr:col>10</xdr:col>
      <xdr:colOff>1093305</xdr:colOff>
      <xdr:row>7</xdr:row>
      <xdr:rowOff>380998</xdr:rowOff>
    </xdr:to>
    <xdr:cxnSp macro="">
      <xdr:nvCxnSpPr>
        <xdr:cNvPr id="28" name="直線コネクタ 27"/>
        <xdr:cNvCxnSpPr/>
      </xdr:nvCxnSpPr>
      <xdr:spPr>
        <a:xfrm>
          <a:off x="7603435" y="2749824"/>
          <a:ext cx="8034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7</xdr:row>
      <xdr:rowOff>119684</xdr:rowOff>
    </xdr:from>
    <xdr:to>
      <xdr:col>9</xdr:col>
      <xdr:colOff>33131</xdr:colOff>
      <xdr:row>7</xdr:row>
      <xdr:rowOff>395909</xdr:rowOff>
    </xdr:to>
    <xdr:sp macro="" textlink="">
      <xdr:nvSpPr>
        <xdr:cNvPr id="29" name="角丸四角形 28"/>
        <xdr:cNvSpPr/>
      </xdr:nvSpPr>
      <xdr:spPr>
        <a:xfrm>
          <a:off x="5457825" y="2500934"/>
          <a:ext cx="1090406" cy="276225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77390</xdr:colOff>
      <xdr:row>7</xdr:row>
      <xdr:rowOff>119683</xdr:rowOff>
    </xdr:from>
    <xdr:to>
      <xdr:col>10</xdr:col>
      <xdr:colOff>41412</xdr:colOff>
      <xdr:row>7</xdr:row>
      <xdr:rowOff>395908</xdr:rowOff>
    </xdr:to>
    <xdr:sp macro="" textlink="">
      <xdr:nvSpPr>
        <xdr:cNvPr id="30" name="角丸四角形 29"/>
        <xdr:cNvSpPr/>
      </xdr:nvSpPr>
      <xdr:spPr>
        <a:xfrm>
          <a:off x="6292453" y="2512839"/>
          <a:ext cx="1059397" cy="2762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182218</xdr:colOff>
      <xdr:row>6</xdr:row>
      <xdr:rowOff>356150</xdr:rowOff>
    </xdr:from>
    <xdr:to>
      <xdr:col>11</xdr:col>
      <xdr:colOff>720588</xdr:colOff>
      <xdr:row>6</xdr:row>
      <xdr:rowOff>356150</xdr:rowOff>
    </xdr:to>
    <xdr:cxnSp macro="">
      <xdr:nvCxnSpPr>
        <xdr:cNvPr id="34" name="直線コネクタ 33"/>
        <xdr:cNvCxnSpPr/>
      </xdr:nvCxnSpPr>
      <xdr:spPr>
        <a:xfrm>
          <a:off x="8837544" y="2219737"/>
          <a:ext cx="53837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231914</xdr:colOff>
      <xdr:row>7</xdr:row>
      <xdr:rowOff>380998</xdr:rowOff>
    </xdr:from>
    <xdr:to>
      <xdr:col>11</xdr:col>
      <xdr:colOff>836544</xdr:colOff>
      <xdr:row>7</xdr:row>
      <xdr:rowOff>380998</xdr:rowOff>
    </xdr:to>
    <xdr:cxnSp macro="">
      <xdr:nvCxnSpPr>
        <xdr:cNvPr id="36" name="直線コネクタ 35"/>
        <xdr:cNvCxnSpPr/>
      </xdr:nvCxnSpPr>
      <xdr:spPr>
        <a:xfrm>
          <a:off x="8647044" y="2749824"/>
          <a:ext cx="6046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306457</xdr:colOff>
      <xdr:row>6</xdr:row>
      <xdr:rowOff>356150</xdr:rowOff>
    </xdr:from>
    <xdr:to>
      <xdr:col>10</xdr:col>
      <xdr:colOff>844827</xdr:colOff>
      <xdr:row>6</xdr:row>
      <xdr:rowOff>356150</xdr:rowOff>
    </xdr:to>
    <xdr:cxnSp macro="">
      <xdr:nvCxnSpPr>
        <xdr:cNvPr id="40" name="直線コネクタ 39"/>
        <xdr:cNvCxnSpPr/>
      </xdr:nvCxnSpPr>
      <xdr:spPr>
        <a:xfrm>
          <a:off x="7860196" y="2219737"/>
          <a:ext cx="53837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8</xdr:row>
      <xdr:rowOff>397564</xdr:rowOff>
    </xdr:from>
    <xdr:to>
      <xdr:col>10</xdr:col>
      <xdr:colOff>1093305</xdr:colOff>
      <xdr:row>8</xdr:row>
      <xdr:rowOff>397564</xdr:rowOff>
    </xdr:to>
    <xdr:cxnSp macro="">
      <xdr:nvCxnSpPr>
        <xdr:cNvPr id="41" name="直線コネクタ 40"/>
        <xdr:cNvCxnSpPr/>
      </xdr:nvCxnSpPr>
      <xdr:spPr>
        <a:xfrm>
          <a:off x="8058150" y="3283639"/>
          <a:ext cx="8932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8</xdr:row>
      <xdr:rowOff>136250</xdr:rowOff>
    </xdr:from>
    <xdr:to>
      <xdr:col>9</xdr:col>
      <xdr:colOff>33131</xdr:colOff>
      <xdr:row>8</xdr:row>
      <xdr:rowOff>412475</xdr:rowOff>
    </xdr:to>
    <xdr:sp macro="" textlink="">
      <xdr:nvSpPr>
        <xdr:cNvPr id="42" name="角丸四角形 41"/>
        <xdr:cNvSpPr/>
      </xdr:nvSpPr>
      <xdr:spPr>
        <a:xfrm>
          <a:off x="5438775" y="3022325"/>
          <a:ext cx="1109456" cy="276225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83344</xdr:colOff>
      <xdr:row>8</xdr:row>
      <xdr:rowOff>136249</xdr:rowOff>
    </xdr:from>
    <xdr:to>
      <xdr:col>10</xdr:col>
      <xdr:colOff>41413</xdr:colOff>
      <xdr:row>8</xdr:row>
      <xdr:rowOff>412474</xdr:rowOff>
    </xdr:to>
    <xdr:sp macro="" textlink="">
      <xdr:nvSpPr>
        <xdr:cNvPr id="43" name="角丸四角形 42"/>
        <xdr:cNvSpPr/>
      </xdr:nvSpPr>
      <xdr:spPr>
        <a:xfrm>
          <a:off x="6298407" y="3035421"/>
          <a:ext cx="1053444" cy="2762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231914</xdr:colOff>
      <xdr:row>8</xdr:row>
      <xdr:rowOff>397564</xdr:rowOff>
    </xdr:from>
    <xdr:to>
      <xdr:col>11</xdr:col>
      <xdr:colOff>836544</xdr:colOff>
      <xdr:row>8</xdr:row>
      <xdr:rowOff>397564</xdr:rowOff>
    </xdr:to>
    <xdr:cxnSp macro="">
      <xdr:nvCxnSpPr>
        <xdr:cNvPr id="44" name="直線コネクタ 43"/>
        <xdr:cNvCxnSpPr/>
      </xdr:nvCxnSpPr>
      <xdr:spPr>
        <a:xfrm>
          <a:off x="8647044" y="3271629"/>
          <a:ext cx="6046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9</xdr:row>
      <xdr:rowOff>389281</xdr:rowOff>
    </xdr:from>
    <xdr:to>
      <xdr:col>10</xdr:col>
      <xdr:colOff>1093305</xdr:colOff>
      <xdr:row>9</xdr:row>
      <xdr:rowOff>389281</xdr:rowOff>
    </xdr:to>
    <xdr:cxnSp macro="">
      <xdr:nvCxnSpPr>
        <xdr:cNvPr id="45" name="直線コネクタ 44"/>
        <xdr:cNvCxnSpPr/>
      </xdr:nvCxnSpPr>
      <xdr:spPr>
        <a:xfrm>
          <a:off x="7953375" y="3780181"/>
          <a:ext cx="99805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9</xdr:row>
      <xdr:rowOff>127967</xdr:rowOff>
    </xdr:from>
    <xdr:to>
      <xdr:col>9</xdr:col>
      <xdr:colOff>33131</xdr:colOff>
      <xdr:row>9</xdr:row>
      <xdr:rowOff>404192</xdr:rowOff>
    </xdr:to>
    <xdr:sp macro="" textlink="">
      <xdr:nvSpPr>
        <xdr:cNvPr id="46" name="角丸四角形 45"/>
        <xdr:cNvSpPr/>
      </xdr:nvSpPr>
      <xdr:spPr>
        <a:xfrm>
          <a:off x="5419725" y="3518867"/>
          <a:ext cx="1128506" cy="276225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77390</xdr:colOff>
      <xdr:row>9</xdr:row>
      <xdr:rowOff>127966</xdr:rowOff>
    </xdr:from>
    <xdr:to>
      <xdr:col>10</xdr:col>
      <xdr:colOff>41412</xdr:colOff>
      <xdr:row>9</xdr:row>
      <xdr:rowOff>404191</xdr:rowOff>
    </xdr:to>
    <xdr:sp macro="" textlink="">
      <xdr:nvSpPr>
        <xdr:cNvPr id="47" name="角丸四角形 46"/>
        <xdr:cNvSpPr/>
      </xdr:nvSpPr>
      <xdr:spPr>
        <a:xfrm>
          <a:off x="6292453" y="3533154"/>
          <a:ext cx="1059397" cy="2762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161925</xdr:colOff>
      <xdr:row>9</xdr:row>
      <xdr:rowOff>389281</xdr:rowOff>
    </xdr:from>
    <xdr:to>
      <xdr:col>11</xdr:col>
      <xdr:colOff>836544</xdr:colOff>
      <xdr:row>9</xdr:row>
      <xdr:rowOff>389281</xdr:rowOff>
    </xdr:to>
    <xdr:cxnSp macro="">
      <xdr:nvCxnSpPr>
        <xdr:cNvPr id="48" name="直線コネクタ 47"/>
        <xdr:cNvCxnSpPr/>
      </xdr:nvCxnSpPr>
      <xdr:spPr>
        <a:xfrm>
          <a:off x="9124950" y="3780181"/>
          <a:ext cx="67461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890240</xdr:colOff>
      <xdr:row>7</xdr:row>
      <xdr:rowOff>137531</xdr:rowOff>
    </xdr:from>
    <xdr:to>
      <xdr:col>7</xdr:col>
      <xdr:colOff>823642</xdr:colOff>
      <xdr:row>7</xdr:row>
      <xdr:rowOff>425109</xdr:rowOff>
    </xdr:to>
    <xdr:grpSp>
      <xdr:nvGrpSpPr>
        <xdr:cNvPr id="50" name="グループ化 49"/>
        <xdr:cNvGrpSpPr/>
      </xdr:nvGrpSpPr>
      <xdr:grpSpPr>
        <a:xfrm>
          <a:off x="5176490" y="1709156"/>
          <a:ext cx="1020840" cy="287578"/>
          <a:chOff x="3262475" y="25252744"/>
          <a:chExt cx="707079" cy="203639"/>
        </a:xfrm>
      </xdr:grpSpPr>
      <xdr:sp macro="" textlink="">
        <xdr:nvSpPr>
          <xdr:cNvPr id="51" name="フローチャート: 手操作入力 50"/>
          <xdr:cNvSpPr/>
        </xdr:nvSpPr>
        <xdr:spPr>
          <a:xfrm rot="5400000" flipH="1">
            <a:off x="3422265" y="25092954"/>
            <a:ext cx="203639" cy="523219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テキスト ボックス 51"/>
          <xdr:cNvSpPr txBox="1"/>
        </xdr:nvSpPr>
        <xdr:spPr>
          <a:xfrm>
            <a:off x="3291640" y="25278653"/>
            <a:ext cx="677914" cy="120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endParaRPr kumimoji="1" lang="ja-JP" altLang="en-US" sz="4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53" name="正方形/長方形 52"/>
          <xdr:cNvSpPr/>
        </xdr:nvSpPr>
        <xdr:spPr>
          <a:xfrm>
            <a:off x="3274041" y="25413628"/>
            <a:ext cx="411104" cy="37353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332101</xdr:colOff>
      <xdr:row>8</xdr:row>
      <xdr:rowOff>136073</xdr:rowOff>
    </xdr:from>
    <xdr:to>
      <xdr:col>7</xdr:col>
      <xdr:colOff>1020831</xdr:colOff>
      <xdr:row>8</xdr:row>
      <xdr:rowOff>424548</xdr:rowOff>
    </xdr:to>
    <xdr:grpSp>
      <xdr:nvGrpSpPr>
        <xdr:cNvPr id="68" name="グループ化 67"/>
        <xdr:cNvGrpSpPr/>
      </xdr:nvGrpSpPr>
      <xdr:grpSpPr>
        <a:xfrm>
          <a:off x="5705789" y="2215698"/>
          <a:ext cx="688730" cy="288475"/>
          <a:chOff x="4646454" y="3064302"/>
          <a:chExt cx="593254" cy="211217"/>
        </a:xfrm>
      </xdr:grpSpPr>
      <xdr:sp macro="" textlink="">
        <xdr:nvSpPr>
          <xdr:cNvPr id="65" name="フローチャート: 手操作入力 64"/>
          <xdr:cNvSpPr/>
        </xdr:nvSpPr>
        <xdr:spPr>
          <a:xfrm rot="5400000" flipV="1">
            <a:off x="4837208" y="2873548"/>
            <a:ext cx="211067" cy="592575"/>
          </a:xfrm>
          <a:prstGeom prst="flowChartManualInput">
            <a:avLst/>
          </a:prstGeom>
          <a:solidFill>
            <a:schemeClr val="accent6">
              <a:lumMod val="60000"/>
              <a:lumOff val="40000"/>
            </a:schemeClr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正方形/長方形 66"/>
          <xdr:cNvSpPr/>
        </xdr:nvSpPr>
        <xdr:spPr>
          <a:xfrm>
            <a:off x="4667002" y="3229632"/>
            <a:ext cx="572706" cy="45887"/>
          </a:xfrm>
          <a:prstGeom prst="rect">
            <a:avLst/>
          </a:prstGeom>
          <a:solidFill>
            <a:srgbClr val="89C064"/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テキスト ボックス 62"/>
          <xdr:cNvSpPr txBox="1"/>
        </xdr:nvSpPr>
        <xdr:spPr>
          <a:xfrm>
            <a:off x="4694857" y="3078561"/>
            <a:ext cx="523995" cy="1846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 editAs="oneCell">
    <xdr:from>
      <xdr:col>2</xdr:col>
      <xdr:colOff>10848</xdr:colOff>
      <xdr:row>22</xdr:row>
      <xdr:rowOff>307731</xdr:rowOff>
    </xdr:from>
    <xdr:to>
      <xdr:col>4</xdr:col>
      <xdr:colOff>41951</xdr:colOff>
      <xdr:row>25</xdr:row>
      <xdr:rowOff>218952</xdr:rowOff>
    </xdr:to>
    <xdr:pic>
      <xdr:nvPicPr>
        <xdr:cNvPr id="108" name="図 10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963" y="8162193"/>
          <a:ext cx="1284007" cy="1054221"/>
        </a:xfrm>
        <a:prstGeom prst="rect">
          <a:avLst/>
        </a:prstGeom>
      </xdr:spPr>
    </xdr:pic>
    <xdr:clientData/>
  </xdr:twoCellAnchor>
  <xdr:twoCellAnchor editAs="oneCell">
    <xdr:from>
      <xdr:col>2</xdr:col>
      <xdr:colOff>226514</xdr:colOff>
      <xdr:row>14</xdr:row>
      <xdr:rowOff>90061</xdr:rowOff>
    </xdr:from>
    <xdr:to>
      <xdr:col>3</xdr:col>
      <xdr:colOff>476962</xdr:colOff>
      <xdr:row>16</xdr:row>
      <xdr:rowOff>58852</xdr:rowOff>
    </xdr:to>
    <xdr:pic>
      <xdr:nvPicPr>
        <xdr:cNvPr id="109" name="図 10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LineDraw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14" y="5146970"/>
          <a:ext cx="725986" cy="730791"/>
        </a:xfrm>
        <a:prstGeom prst="rect">
          <a:avLst/>
        </a:prstGeom>
      </xdr:spPr>
    </xdr:pic>
    <xdr:clientData/>
  </xdr:twoCellAnchor>
  <xdr:twoCellAnchor editAs="oneCell">
    <xdr:from>
      <xdr:col>1</xdr:col>
      <xdr:colOff>65770</xdr:colOff>
      <xdr:row>27</xdr:row>
      <xdr:rowOff>102577</xdr:rowOff>
    </xdr:from>
    <xdr:to>
      <xdr:col>4</xdr:col>
      <xdr:colOff>89064</xdr:colOff>
      <xdr:row>30</xdr:row>
      <xdr:rowOff>205153</xdr:rowOff>
    </xdr:to>
    <xdr:pic>
      <xdr:nvPicPr>
        <xdr:cNvPr id="111" name="図 1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0" y="9862039"/>
          <a:ext cx="1525313" cy="1245576"/>
        </a:xfrm>
        <a:prstGeom prst="rect">
          <a:avLst/>
        </a:prstGeom>
      </xdr:spPr>
    </xdr:pic>
    <xdr:clientData/>
  </xdr:twoCellAnchor>
  <xdr:twoCellAnchor editAs="oneCell">
    <xdr:from>
      <xdr:col>2</xdr:col>
      <xdr:colOff>205303</xdr:colOff>
      <xdr:row>18</xdr:row>
      <xdr:rowOff>207353</xdr:rowOff>
    </xdr:from>
    <xdr:to>
      <xdr:col>3</xdr:col>
      <xdr:colOff>425007</xdr:colOff>
      <xdr:row>20</xdr:row>
      <xdr:rowOff>12219</xdr:rowOff>
    </xdr:to>
    <xdr:pic>
      <xdr:nvPicPr>
        <xdr:cNvPr id="112" name="図 1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artisticLineDraw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03" y="6788262"/>
          <a:ext cx="695242" cy="566866"/>
        </a:xfrm>
        <a:prstGeom prst="rect">
          <a:avLst/>
        </a:prstGeom>
      </xdr:spPr>
    </xdr:pic>
    <xdr:clientData/>
  </xdr:twoCellAnchor>
  <xdr:twoCellAnchor editAs="oneCell">
    <xdr:from>
      <xdr:col>3</xdr:col>
      <xdr:colOff>241789</xdr:colOff>
      <xdr:row>14</xdr:row>
      <xdr:rowOff>343337</xdr:rowOff>
    </xdr:from>
    <xdr:to>
      <xdr:col>4</xdr:col>
      <xdr:colOff>14654</xdr:colOff>
      <xdr:row>17</xdr:row>
      <xdr:rowOff>262260</xdr:rowOff>
    </xdr:to>
    <xdr:pic>
      <xdr:nvPicPr>
        <xdr:cNvPr id="113" name="図 112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74"/>
        <a:stretch/>
      </xdr:blipFill>
      <xdr:spPr>
        <a:xfrm>
          <a:off x="989135" y="5149799"/>
          <a:ext cx="527538" cy="1061923"/>
        </a:xfrm>
        <a:prstGeom prst="rect">
          <a:avLst/>
        </a:prstGeom>
      </xdr:spPr>
    </xdr:pic>
    <xdr:clientData/>
  </xdr:twoCellAnchor>
  <xdr:oneCellAnchor>
    <xdr:from>
      <xdr:col>4</xdr:col>
      <xdr:colOff>199036</xdr:colOff>
      <xdr:row>19</xdr:row>
      <xdr:rowOff>83363</xdr:rowOff>
    </xdr:from>
    <xdr:ext cx="504333" cy="133350"/>
    <xdr:sp macro="" textlink="">
      <xdr:nvSpPr>
        <xdr:cNvPr id="114" name="テキスト ボックス 113"/>
        <xdr:cNvSpPr txBox="1"/>
      </xdr:nvSpPr>
      <xdr:spPr>
        <a:xfrm>
          <a:off x="1028271" y="7053422"/>
          <a:ext cx="50433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人</a:t>
          </a:r>
        </a:p>
      </xdr:txBody>
    </xdr:sp>
    <xdr:clientData/>
  </xdr:oneCellAnchor>
  <xdr:oneCellAnchor>
    <xdr:from>
      <xdr:col>4</xdr:col>
      <xdr:colOff>115720</xdr:colOff>
      <xdr:row>23</xdr:row>
      <xdr:rowOff>99458</xdr:rowOff>
    </xdr:from>
    <xdr:ext cx="612662" cy="147072"/>
    <xdr:sp macro="" textlink="">
      <xdr:nvSpPr>
        <xdr:cNvPr id="115" name="テキスト ボックス 114"/>
        <xdr:cNvSpPr txBox="1"/>
      </xdr:nvSpPr>
      <xdr:spPr>
        <a:xfrm>
          <a:off x="944955" y="8593517"/>
          <a:ext cx="612662" cy="14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4</a:t>
          </a:r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人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182838</xdr:colOff>
      <xdr:row>27</xdr:row>
      <xdr:rowOff>280148</xdr:rowOff>
    </xdr:from>
    <xdr:ext cx="718045" cy="211022"/>
    <xdr:sp macro="" textlink="">
      <xdr:nvSpPr>
        <xdr:cNvPr id="116" name="テキスト ボックス 115"/>
        <xdr:cNvSpPr txBox="1"/>
      </xdr:nvSpPr>
      <xdr:spPr>
        <a:xfrm>
          <a:off x="1404279" y="9793942"/>
          <a:ext cx="718045" cy="211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5</a:t>
          </a:r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人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158666</xdr:colOff>
      <xdr:row>15</xdr:row>
      <xdr:rowOff>73660</xdr:rowOff>
    </xdr:from>
    <xdr:ext cx="637969" cy="238067"/>
    <xdr:sp macro="" textlink="">
      <xdr:nvSpPr>
        <xdr:cNvPr id="117" name="テキスト ボックス 116"/>
        <xdr:cNvSpPr txBox="1"/>
      </xdr:nvSpPr>
      <xdr:spPr>
        <a:xfrm>
          <a:off x="972621" y="5511569"/>
          <a:ext cx="637969" cy="238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単身</a:t>
          </a:r>
          <a:endParaRPr kumimoji="1" lang="ja-JP" altLang="en-US" sz="11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153769</xdr:colOff>
      <xdr:row>15</xdr:row>
      <xdr:rowOff>319680</xdr:rowOff>
    </xdr:from>
    <xdr:ext cx="699914" cy="153006"/>
    <xdr:sp macro="" textlink="">
      <xdr:nvSpPr>
        <xdr:cNvPr id="118" name="テキスト ボックス 117"/>
        <xdr:cNvSpPr txBox="1"/>
      </xdr:nvSpPr>
      <xdr:spPr>
        <a:xfrm>
          <a:off x="983004" y="5765739"/>
          <a:ext cx="699914" cy="153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世帯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195732</xdr:colOff>
      <xdr:row>19</xdr:row>
      <xdr:rowOff>345359</xdr:rowOff>
    </xdr:from>
    <xdr:ext cx="420591" cy="203729"/>
    <xdr:sp macro="" textlink="">
      <xdr:nvSpPr>
        <xdr:cNvPr id="119" name="テキスト ボックス 118"/>
        <xdr:cNvSpPr txBox="1"/>
      </xdr:nvSpPr>
      <xdr:spPr>
        <a:xfrm>
          <a:off x="1024967" y="7315418"/>
          <a:ext cx="420591" cy="203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世帯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83281</xdr:colOff>
      <xdr:row>23</xdr:row>
      <xdr:rowOff>367619</xdr:rowOff>
    </xdr:from>
    <xdr:ext cx="614791" cy="189866"/>
    <xdr:sp macro="" textlink="">
      <xdr:nvSpPr>
        <xdr:cNvPr id="120" name="テキスト ボックス 119"/>
        <xdr:cNvSpPr txBox="1"/>
      </xdr:nvSpPr>
      <xdr:spPr>
        <a:xfrm>
          <a:off x="912516" y="8861678"/>
          <a:ext cx="614791" cy="18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世帯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150906</xdr:colOff>
      <xdr:row>28</xdr:row>
      <xdr:rowOff>339206</xdr:rowOff>
    </xdr:from>
    <xdr:ext cx="507274" cy="209818"/>
    <xdr:sp macro="" textlink="">
      <xdr:nvSpPr>
        <xdr:cNvPr id="121" name="テキスト ボックス 120"/>
        <xdr:cNvSpPr txBox="1"/>
      </xdr:nvSpPr>
      <xdr:spPr>
        <a:xfrm>
          <a:off x="1372347" y="10234000"/>
          <a:ext cx="507274" cy="209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世帯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156012</xdr:colOff>
      <xdr:row>28</xdr:row>
      <xdr:rowOff>127192</xdr:rowOff>
    </xdr:from>
    <xdr:ext cx="718045" cy="226552"/>
    <xdr:sp macro="" textlink="">
      <xdr:nvSpPr>
        <xdr:cNvPr id="122" name="テキスト ボックス 121"/>
        <xdr:cNvSpPr txBox="1"/>
      </xdr:nvSpPr>
      <xdr:spPr>
        <a:xfrm>
          <a:off x="1377453" y="10021986"/>
          <a:ext cx="718045" cy="226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以上の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2</xdr:col>
      <xdr:colOff>246529</xdr:colOff>
      <xdr:row>26</xdr:row>
      <xdr:rowOff>10770</xdr:rowOff>
    </xdr:from>
    <xdr:to>
      <xdr:col>12</xdr:col>
      <xdr:colOff>485775</xdr:colOff>
      <xdr:row>26</xdr:row>
      <xdr:rowOff>10770</xdr:rowOff>
    </xdr:to>
    <xdr:cxnSp macro="">
      <xdr:nvCxnSpPr>
        <xdr:cNvPr id="125" name="直線コネクタ 124"/>
        <xdr:cNvCxnSpPr/>
      </xdr:nvCxnSpPr>
      <xdr:spPr>
        <a:xfrm>
          <a:off x="291353" y="8908241"/>
          <a:ext cx="9965951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246529</xdr:colOff>
      <xdr:row>17</xdr:row>
      <xdr:rowOff>379667</xdr:rowOff>
    </xdr:from>
    <xdr:to>
      <xdr:col>12</xdr:col>
      <xdr:colOff>476250</xdr:colOff>
      <xdr:row>17</xdr:row>
      <xdr:rowOff>379667</xdr:rowOff>
    </xdr:to>
    <xdr:cxnSp macro="">
      <xdr:nvCxnSpPr>
        <xdr:cNvPr id="126" name="直線コネクタ 125"/>
        <xdr:cNvCxnSpPr/>
      </xdr:nvCxnSpPr>
      <xdr:spPr>
        <a:xfrm>
          <a:off x="291353" y="5848138"/>
          <a:ext cx="9956426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799518</xdr:colOff>
      <xdr:row>29</xdr:row>
      <xdr:rowOff>23903</xdr:rowOff>
    </xdr:from>
    <xdr:ext cx="1175844" cy="564931"/>
    <xdr:sp macro="" textlink="">
      <xdr:nvSpPr>
        <xdr:cNvPr id="133" name="フローチャート: 書類 132"/>
        <xdr:cNvSpPr/>
      </xdr:nvSpPr>
      <xdr:spPr>
        <a:xfrm rot="10800000" flipH="1">
          <a:off x="2020959" y="10299697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198847</xdr:colOff>
      <xdr:row>29</xdr:row>
      <xdr:rowOff>101000</xdr:rowOff>
    </xdr:from>
    <xdr:ext cx="820962" cy="345603"/>
    <xdr:sp macro="" textlink="">
      <xdr:nvSpPr>
        <xdr:cNvPr id="134" name="テキスト ボックス 133"/>
        <xdr:cNvSpPr txBox="1"/>
      </xdr:nvSpPr>
      <xdr:spPr>
        <a:xfrm>
          <a:off x="2372788" y="10376794"/>
          <a:ext cx="820962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74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779735</xdr:colOff>
      <xdr:row>23</xdr:row>
      <xdr:rowOff>51838</xdr:rowOff>
    </xdr:from>
    <xdr:ext cx="1175844" cy="564931"/>
    <xdr:sp macro="" textlink="">
      <xdr:nvSpPr>
        <xdr:cNvPr id="135" name="フローチャート: 書類 134"/>
        <xdr:cNvSpPr/>
      </xdr:nvSpPr>
      <xdr:spPr>
        <a:xfrm rot="10800000" flipH="1">
          <a:off x="1608970" y="8545897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179064</xdr:colOff>
      <xdr:row>23</xdr:row>
      <xdr:rowOff>128935</xdr:rowOff>
    </xdr:from>
    <xdr:ext cx="820962" cy="345603"/>
    <xdr:sp macro="" textlink="">
      <xdr:nvSpPr>
        <xdr:cNvPr id="136" name="テキスト ボックス 135"/>
        <xdr:cNvSpPr txBox="1"/>
      </xdr:nvSpPr>
      <xdr:spPr>
        <a:xfrm>
          <a:off x="1960799" y="8622994"/>
          <a:ext cx="820962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48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776072</xdr:colOff>
      <xdr:row>19</xdr:row>
      <xdr:rowOff>78555</xdr:rowOff>
    </xdr:from>
    <xdr:ext cx="1175844" cy="564931"/>
    <xdr:sp macro="" textlink="">
      <xdr:nvSpPr>
        <xdr:cNvPr id="137" name="フローチャート: 書類 136"/>
        <xdr:cNvSpPr/>
      </xdr:nvSpPr>
      <xdr:spPr>
        <a:xfrm rot="10800000" flipH="1">
          <a:off x="1605307" y="7048614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178332</xdr:colOff>
      <xdr:row>19</xdr:row>
      <xdr:rowOff>155652</xdr:rowOff>
    </xdr:from>
    <xdr:ext cx="820962" cy="345603"/>
    <xdr:sp macro="" textlink="">
      <xdr:nvSpPr>
        <xdr:cNvPr id="138" name="テキスト ボックス 137"/>
        <xdr:cNvSpPr txBox="1"/>
      </xdr:nvSpPr>
      <xdr:spPr>
        <a:xfrm>
          <a:off x="1960067" y="7125711"/>
          <a:ext cx="820962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30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795122</xdr:colOff>
      <xdr:row>15</xdr:row>
      <xdr:rowOff>43401</xdr:rowOff>
    </xdr:from>
    <xdr:ext cx="1175844" cy="564931"/>
    <xdr:sp macro="" textlink="">
      <xdr:nvSpPr>
        <xdr:cNvPr id="139" name="フローチャート: 書類 138"/>
        <xdr:cNvSpPr/>
      </xdr:nvSpPr>
      <xdr:spPr>
        <a:xfrm rot="10800000" flipH="1">
          <a:off x="1624357" y="5489460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197382</xdr:colOff>
      <xdr:row>15</xdr:row>
      <xdr:rowOff>120498</xdr:rowOff>
    </xdr:from>
    <xdr:ext cx="820962" cy="345603"/>
    <xdr:sp macro="" textlink="">
      <xdr:nvSpPr>
        <xdr:cNvPr id="140" name="テキスト ボックス 139"/>
        <xdr:cNvSpPr txBox="1"/>
      </xdr:nvSpPr>
      <xdr:spPr>
        <a:xfrm>
          <a:off x="1979117" y="5566557"/>
          <a:ext cx="820962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8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712777</xdr:colOff>
      <xdr:row>12</xdr:row>
      <xdr:rowOff>291914</xdr:rowOff>
    </xdr:from>
    <xdr:ext cx="4946193" cy="286562"/>
    <xdr:sp macro="" textlink="">
      <xdr:nvSpPr>
        <xdr:cNvPr id="146" name="テキスト ボックス 145"/>
        <xdr:cNvSpPr txBox="1"/>
      </xdr:nvSpPr>
      <xdr:spPr>
        <a:xfrm>
          <a:off x="1934218" y="3597649"/>
          <a:ext cx="4946193" cy="286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12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2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か月ご使用で、</a:t>
          </a:r>
          <a:r>
            <a:rPr kumimoji="1" lang="ja-JP" altLang="en-US" sz="1200" b="1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消費税（</a:t>
          </a:r>
          <a:r>
            <a:rPr kumimoji="1" lang="en-US" altLang="ja-JP" sz="1200" b="1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200" b="1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％）を含む</a:t>
          </a:r>
          <a:r>
            <a:rPr kumimoji="1" lang="ja-JP" altLang="en-US" sz="12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料金で計算しています。</a:t>
          </a:r>
        </a:p>
      </xdr:txBody>
    </xdr:sp>
    <xdr:clientData/>
  </xdr:oneCellAnchor>
  <xdr:twoCellAnchor>
    <xdr:from>
      <xdr:col>6</xdr:col>
      <xdr:colOff>33618</xdr:colOff>
      <xdr:row>16</xdr:row>
      <xdr:rowOff>530</xdr:rowOff>
    </xdr:from>
    <xdr:to>
      <xdr:col>12</xdr:col>
      <xdr:colOff>466725</xdr:colOff>
      <xdr:row>16</xdr:row>
      <xdr:rowOff>530</xdr:rowOff>
    </xdr:to>
    <xdr:cxnSp macro="">
      <xdr:nvCxnSpPr>
        <xdr:cNvPr id="154" name="直線コネクタ 153"/>
        <xdr:cNvCxnSpPr/>
      </xdr:nvCxnSpPr>
      <xdr:spPr>
        <a:xfrm>
          <a:off x="2976843" y="5820305"/>
          <a:ext cx="7005357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14</xdr:row>
      <xdr:rowOff>38238</xdr:rowOff>
    </xdr:from>
    <xdr:to>
      <xdr:col>7</xdr:col>
      <xdr:colOff>831312</xdr:colOff>
      <xdr:row>14</xdr:row>
      <xdr:rowOff>363599</xdr:rowOff>
    </xdr:to>
    <xdr:grpSp>
      <xdr:nvGrpSpPr>
        <xdr:cNvPr id="239" name="グループ化 238"/>
        <xdr:cNvGrpSpPr/>
      </xdr:nvGrpSpPr>
      <xdr:grpSpPr>
        <a:xfrm>
          <a:off x="5294641" y="4856301"/>
          <a:ext cx="910359" cy="325361"/>
          <a:chOff x="4393848" y="5142618"/>
          <a:chExt cx="908771" cy="325361"/>
        </a:xfrm>
      </xdr:grpSpPr>
      <xdr:sp macro="" textlink="">
        <xdr:nvSpPr>
          <xdr:cNvPr id="158" name="フローチャート: 手操作入力 157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9" name="テキスト ボックス 158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60" name="正方形/長方形 159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138856</xdr:colOff>
      <xdr:row>14</xdr:row>
      <xdr:rowOff>149679</xdr:rowOff>
    </xdr:from>
    <xdr:ext cx="609538" cy="530679"/>
    <xdr:sp macro="" textlink="">
      <xdr:nvSpPr>
        <xdr:cNvPr id="207" name="テキスト ボックス 206"/>
        <xdr:cNvSpPr txBox="1"/>
      </xdr:nvSpPr>
      <xdr:spPr>
        <a:xfrm>
          <a:off x="3077999" y="5238750"/>
          <a:ext cx="609538" cy="53067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13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149622</xdr:colOff>
      <xdr:row>16</xdr:row>
      <xdr:rowOff>108857</xdr:rowOff>
    </xdr:from>
    <xdr:ext cx="612378" cy="540737"/>
    <xdr:sp macro="" textlink="">
      <xdr:nvSpPr>
        <xdr:cNvPr id="208" name="テキスト ボックス 207"/>
        <xdr:cNvSpPr txBox="1"/>
      </xdr:nvSpPr>
      <xdr:spPr>
        <a:xfrm>
          <a:off x="3088765" y="5959928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20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5</xdr:col>
      <xdr:colOff>1064559</xdr:colOff>
      <xdr:row>20</xdr:row>
      <xdr:rowOff>1291</xdr:rowOff>
    </xdr:from>
    <xdr:to>
      <xdr:col>12</xdr:col>
      <xdr:colOff>466725</xdr:colOff>
      <xdr:row>20</xdr:row>
      <xdr:rowOff>1291</xdr:rowOff>
    </xdr:to>
    <xdr:cxnSp macro="">
      <xdr:nvCxnSpPr>
        <xdr:cNvPr id="220" name="直線コネクタ 219"/>
        <xdr:cNvCxnSpPr/>
      </xdr:nvCxnSpPr>
      <xdr:spPr>
        <a:xfrm>
          <a:off x="2845734" y="7345066"/>
          <a:ext cx="7136466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1064559</xdr:colOff>
      <xdr:row>28</xdr:row>
      <xdr:rowOff>1291</xdr:rowOff>
    </xdr:from>
    <xdr:to>
      <xdr:col>12</xdr:col>
      <xdr:colOff>476250</xdr:colOff>
      <xdr:row>28</xdr:row>
      <xdr:rowOff>1291</xdr:rowOff>
    </xdr:to>
    <xdr:cxnSp macro="">
      <xdr:nvCxnSpPr>
        <xdr:cNvPr id="223" name="直線コネクタ 222"/>
        <xdr:cNvCxnSpPr/>
      </xdr:nvCxnSpPr>
      <xdr:spPr>
        <a:xfrm>
          <a:off x="2845734" y="10393066"/>
          <a:ext cx="7145991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1011642</xdr:colOff>
      <xdr:row>15</xdr:row>
      <xdr:rowOff>33724</xdr:rowOff>
    </xdr:from>
    <xdr:to>
      <xdr:col>8</xdr:col>
      <xdr:colOff>336176</xdr:colOff>
      <xdr:row>15</xdr:row>
      <xdr:rowOff>348677</xdr:rowOff>
    </xdr:to>
    <xdr:grpSp>
      <xdr:nvGrpSpPr>
        <xdr:cNvPr id="226" name="グループ化 225"/>
        <xdr:cNvGrpSpPr/>
      </xdr:nvGrpSpPr>
      <xdr:grpSpPr>
        <a:xfrm>
          <a:off x="5297892" y="5232787"/>
          <a:ext cx="1459722" cy="314953"/>
          <a:chOff x="3826072" y="3675389"/>
          <a:chExt cx="1248371" cy="287578"/>
        </a:xfrm>
      </xdr:grpSpPr>
      <xdr:grpSp>
        <xdr:nvGrpSpPr>
          <xdr:cNvPr id="227" name="グループ化 226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232" name="フローチャート: 手操作入力 231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33" name="正方形/長方形 232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28" name="グループ化 227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230" name="フローチャート: 手操作入力 229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31" name="正方形/長方形 230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9" name="テキスト ボックス 228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941294</xdr:colOff>
      <xdr:row>17</xdr:row>
      <xdr:rowOff>907</xdr:rowOff>
    </xdr:from>
    <xdr:to>
      <xdr:col>12</xdr:col>
      <xdr:colOff>476250</xdr:colOff>
      <xdr:row>17</xdr:row>
      <xdr:rowOff>907</xdr:rowOff>
    </xdr:to>
    <xdr:cxnSp macro="">
      <xdr:nvCxnSpPr>
        <xdr:cNvPr id="244" name="直線コネクタ 243"/>
        <xdr:cNvCxnSpPr/>
      </xdr:nvCxnSpPr>
      <xdr:spPr>
        <a:xfrm>
          <a:off x="3884519" y="6201682"/>
          <a:ext cx="6107206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941294</xdr:colOff>
      <xdr:row>19</xdr:row>
      <xdr:rowOff>1990</xdr:rowOff>
    </xdr:from>
    <xdr:to>
      <xdr:col>12</xdr:col>
      <xdr:colOff>476250</xdr:colOff>
      <xdr:row>19</xdr:row>
      <xdr:rowOff>1990</xdr:rowOff>
    </xdr:to>
    <xdr:cxnSp macro="">
      <xdr:nvCxnSpPr>
        <xdr:cNvPr id="251" name="直線コネクタ 250"/>
        <xdr:cNvCxnSpPr/>
      </xdr:nvCxnSpPr>
      <xdr:spPr>
        <a:xfrm>
          <a:off x="3884519" y="6964765"/>
          <a:ext cx="6107206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138856</xdr:colOff>
      <xdr:row>18</xdr:row>
      <xdr:rowOff>121104</xdr:rowOff>
    </xdr:from>
    <xdr:ext cx="609538" cy="530679"/>
    <xdr:sp macro="" textlink="">
      <xdr:nvSpPr>
        <xdr:cNvPr id="252" name="テキスト ボックス 251"/>
        <xdr:cNvSpPr txBox="1"/>
      </xdr:nvSpPr>
      <xdr:spPr>
        <a:xfrm>
          <a:off x="3082081" y="6750504"/>
          <a:ext cx="609538" cy="53067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13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149622</xdr:colOff>
      <xdr:row>20</xdr:row>
      <xdr:rowOff>89807</xdr:rowOff>
    </xdr:from>
    <xdr:ext cx="612378" cy="540737"/>
    <xdr:sp macro="" textlink="">
      <xdr:nvSpPr>
        <xdr:cNvPr id="253" name="テキスト ボックス 252"/>
        <xdr:cNvSpPr txBox="1"/>
      </xdr:nvSpPr>
      <xdr:spPr>
        <a:xfrm>
          <a:off x="3092847" y="7481207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20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20</xdr:row>
      <xdr:rowOff>377795</xdr:rowOff>
    </xdr:from>
    <xdr:to>
      <xdr:col>12</xdr:col>
      <xdr:colOff>476250</xdr:colOff>
      <xdr:row>20</xdr:row>
      <xdr:rowOff>377795</xdr:rowOff>
    </xdr:to>
    <xdr:cxnSp macro="">
      <xdr:nvCxnSpPr>
        <xdr:cNvPr id="255" name="直線コネクタ 254"/>
        <xdr:cNvCxnSpPr/>
      </xdr:nvCxnSpPr>
      <xdr:spPr>
        <a:xfrm>
          <a:off x="3884519" y="7721570"/>
          <a:ext cx="6107206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16</xdr:row>
      <xdr:rowOff>29904</xdr:rowOff>
    </xdr:from>
    <xdr:to>
      <xdr:col>7</xdr:col>
      <xdr:colOff>831312</xdr:colOff>
      <xdr:row>16</xdr:row>
      <xdr:rowOff>355265</xdr:rowOff>
    </xdr:to>
    <xdr:grpSp>
      <xdr:nvGrpSpPr>
        <xdr:cNvPr id="268" name="グループ化 267"/>
        <xdr:cNvGrpSpPr/>
      </xdr:nvGrpSpPr>
      <xdr:grpSpPr>
        <a:xfrm>
          <a:off x="5294641" y="5609967"/>
          <a:ext cx="910359" cy="325361"/>
          <a:chOff x="4393848" y="5142618"/>
          <a:chExt cx="908771" cy="325361"/>
        </a:xfrm>
      </xdr:grpSpPr>
      <xdr:sp macro="" textlink="">
        <xdr:nvSpPr>
          <xdr:cNvPr id="269" name="フローチャート: 手操作入力 268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0" name="テキスト ボックス 269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71" name="正方形/長方形 270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1008391</xdr:colOff>
      <xdr:row>18</xdr:row>
      <xdr:rowOff>32901</xdr:rowOff>
    </xdr:from>
    <xdr:to>
      <xdr:col>7</xdr:col>
      <xdr:colOff>831312</xdr:colOff>
      <xdr:row>18</xdr:row>
      <xdr:rowOff>358262</xdr:rowOff>
    </xdr:to>
    <xdr:grpSp>
      <xdr:nvGrpSpPr>
        <xdr:cNvPr id="272" name="グループ化 271"/>
        <xdr:cNvGrpSpPr/>
      </xdr:nvGrpSpPr>
      <xdr:grpSpPr>
        <a:xfrm>
          <a:off x="5294641" y="6374964"/>
          <a:ext cx="910359" cy="325361"/>
          <a:chOff x="4393848" y="5142618"/>
          <a:chExt cx="908771" cy="325361"/>
        </a:xfrm>
      </xdr:grpSpPr>
      <xdr:sp macro="" textlink="">
        <xdr:nvSpPr>
          <xdr:cNvPr id="273" name="フローチャート: 手操作入力 272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4" name="テキスト ボックス 273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75" name="正方形/長方形 274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1008391</xdr:colOff>
      <xdr:row>20</xdr:row>
      <xdr:rowOff>26332</xdr:rowOff>
    </xdr:from>
    <xdr:to>
      <xdr:col>7</xdr:col>
      <xdr:colOff>831312</xdr:colOff>
      <xdr:row>20</xdr:row>
      <xdr:rowOff>351693</xdr:rowOff>
    </xdr:to>
    <xdr:grpSp>
      <xdr:nvGrpSpPr>
        <xdr:cNvPr id="277" name="グループ化 276"/>
        <xdr:cNvGrpSpPr/>
      </xdr:nvGrpSpPr>
      <xdr:grpSpPr>
        <a:xfrm>
          <a:off x="5294641" y="7130395"/>
          <a:ext cx="910359" cy="325361"/>
          <a:chOff x="4393848" y="5142618"/>
          <a:chExt cx="908771" cy="325361"/>
        </a:xfrm>
      </xdr:grpSpPr>
      <xdr:sp macro="" textlink="">
        <xdr:nvSpPr>
          <xdr:cNvPr id="278" name="フローチャート: 手操作入力 277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9" name="テキスト ボックス 278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80" name="正方形/長方形 279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941294</xdr:colOff>
      <xdr:row>23</xdr:row>
      <xdr:rowOff>1990</xdr:rowOff>
    </xdr:from>
    <xdr:to>
      <xdr:col>12</xdr:col>
      <xdr:colOff>466725</xdr:colOff>
      <xdr:row>23</xdr:row>
      <xdr:rowOff>1990</xdr:rowOff>
    </xdr:to>
    <xdr:cxnSp macro="">
      <xdr:nvCxnSpPr>
        <xdr:cNvPr id="305" name="直線コネクタ 304"/>
        <xdr:cNvCxnSpPr/>
      </xdr:nvCxnSpPr>
      <xdr:spPr>
        <a:xfrm>
          <a:off x="3884519" y="8488765"/>
          <a:ext cx="6097681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22</xdr:row>
      <xdr:rowOff>39470</xdr:rowOff>
    </xdr:from>
    <xdr:to>
      <xdr:col>7</xdr:col>
      <xdr:colOff>831312</xdr:colOff>
      <xdr:row>22</xdr:row>
      <xdr:rowOff>364831</xdr:rowOff>
    </xdr:to>
    <xdr:grpSp>
      <xdr:nvGrpSpPr>
        <xdr:cNvPr id="306" name="グループ化 305"/>
        <xdr:cNvGrpSpPr/>
      </xdr:nvGrpSpPr>
      <xdr:grpSpPr>
        <a:xfrm>
          <a:off x="5294641" y="7905533"/>
          <a:ext cx="910359" cy="325361"/>
          <a:chOff x="4393848" y="5142618"/>
          <a:chExt cx="908771" cy="325361"/>
        </a:xfrm>
      </xdr:grpSpPr>
      <xdr:sp macro="" textlink="">
        <xdr:nvSpPr>
          <xdr:cNvPr id="307" name="フローチャート: 手操作入力 306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8" name="テキスト ボックス 307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09" name="正方形/長方形 308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138856</xdr:colOff>
      <xdr:row>22</xdr:row>
      <xdr:rowOff>127672</xdr:rowOff>
    </xdr:from>
    <xdr:ext cx="609538" cy="530679"/>
    <xdr:sp macro="" textlink="">
      <xdr:nvSpPr>
        <xdr:cNvPr id="310" name="テキスト ボックス 309"/>
        <xdr:cNvSpPr txBox="1"/>
      </xdr:nvSpPr>
      <xdr:spPr>
        <a:xfrm>
          <a:off x="3088322" y="8279758"/>
          <a:ext cx="609538" cy="53067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13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5</xdr:col>
      <xdr:colOff>1064559</xdr:colOff>
      <xdr:row>23</xdr:row>
      <xdr:rowOff>377813</xdr:rowOff>
    </xdr:from>
    <xdr:to>
      <xdr:col>12</xdr:col>
      <xdr:colOff>476250</xdr:colOff>
      <xdr:row>23</xdr:row>
      <xdr:rowOff>377813</xdr:rowOff>
    </xdr:to>
    <xdr:cxnSp macro="">
      <xdr:nvCxnSpPr>
        <xdr:cNvPr id="311" name="直線コネクタ 310"/>
        <xdr:cNvCxnSpPr/>
      </xdr:nvCxnSpPr>
      <xdr:spPr>
        <a:xfrm>
          <a:off x="2845734" y="8864588"/>
          <a:ext cx="7145991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149622</xdr:colOff>
      <xdr:row>24</xdr:row>
      <xdr:rowOff>89807</xdr:rowOff>
    </xdr:from>
    <xdr:ext cx="612378" cy="540737"/>
    <xdr:sp macro="" textlink="">
      <xdr:nvSpPr>
        <xdr:cNvPr id="320" name="テキスト ボックス 319"/>
        <xdr:cNvSpPr txBox="1"/>
      </xdr:nvSpPr>
      <xdr:spPr>
        <a:xfrm>
          <a:off x="3089948" y="8993611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20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1008391</xdr:colOff>
      <xdr:row>24</xdr:row>
      <xdr:rowOff>22905</xdr:rowOff>
    </xdr:from>
    <xdr:to>
      <xdr:col>7</xdr:col>
      <xdr:colOff>831312</xdr:colOff>
      <xdr:row>24</xdr:row>
      <xdr:rowOff>348266</xdr:rowOff>
    </xdr:to>
    <xdr:grpSp>
      <xdr:nvGrpSpPr>
        <xdr:cNvPr id="321" name="グループ化 320"/>
        <xdr:cNvGrpSpPr/>
      </xdr:nvGrpSpPr>
      <xdr:grpSpPr>
        <a:xfrm>
          <a:off x="5294641" y="8650968"/>
          <a:ext cx="910359" cy="325361"/>
          <a:chOff x="4393848" y="5142618"/>
          <a:chExt cx="908771" cy="325361"/>
        </a:xfrm>
      </xdr:grpSpPr>
      <xdr:sp macro="" textlink="">
        <xdr:nvSpPr>
          <xdr:cNvPr id="322" name="フローチャート: 手操作入力 321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3" name="テキスト ボックス 322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24" name="正方形/長方形 323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941294</xdr:colOff>
      <xdr:row>25</xdr:row>
      <xdr:rowOff>1990</xdr:rowOff>
    </xdr:from>
    <xdr:to>
      <xdr:col>12</xdr:col>
      <xdr:colOff>485775</xdr:colOff>
      <xdr:row>25</xdr:row>
      <xdr:rowOff>1990</xdr:rowOff>
    </xdr:to>
    <xdr:cxnSp macro="">
      <xdr:nvCxnSpPr>
        <xdr:cNvPr id="325" name="直線コネクタ 324"/>
        <xdr:cNvCxnSpPr/>
      </xdr:nvCxnSpPr>
      <xdr:spPr>
        <a:xfrm>
          <a:off x="3884519" y="9250765"/>
          <a:ext cx="6116731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138856</xdr:colOff>
      <xdr:row>26</xdr:row>
      <xdr:rowOff>94055</xdr:rowOff>
    </xdr:from>
    <xdr:ext cx="609538" cy="530679"/>
    <xdr:sp macro="" textlink="">
      <xdr:nvSpPr>
        <xdr:cNvPr id="334" name="テキスト ボックス 333"/>
        <xdr:cNvSpPr txBox="1"/>
      </xdr:nvSpPr>
      <xdr:spPr>
        <a:xfrm>
          <a:off x="3086003" y="9787143"/>
          <a:ext cx="609538" cy="53067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13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27</xdr:row>
      <xdr:rowOff>4536</xdr:rowOff>
    </xdr:from>
    <xdr:to>
      <xdr:col>12</xdr:col>
      <xdr:colOff>466725</xdr:colOff>
      <xdr:row>27</xdr:row>
      <xdr:rowOff>4536</xdr:rowOff>
    </xdr:to>
    <xdr:cxnSp macro="">
      <xdr:nvCxnSpPr>
        <xdr:cNvPr id="335" name="直線コネクタ 334"/>
        <xdr:cNvCxnSpPr/>
      </xdr:nvCxnSpPr>
      <xdr:spPr>
        <a:xfrm>
          <a:off x="3884519" y="10015311"/>
          <a:ext cx="6097681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26</xdr:row>
      <xdr:rowOff>34110</xdr:rowOff>
    </xdr:from>
    <xdr:to>
      <xdr:col>7</xdr:col>
      <xdr:colOff>831312</xdr:colOff>
      <xdr:row>26</xdr:row>
      <xdr:rowOff>359471</xdr:rowOff>
    </xdr:to>
    <xdr:grpSp>
      <xdr:nvGrpSpPr>
        <xdr:cNvPr id="336" name="グループ化 335"/>
        <xdr:cNvGrpSpPr/>
      </xdr:nvGrpSpPr>
      <xdr:grpSpPr>
        <a:xfrm>
          <a:off x="5294641" y="9424173"/>
          <a:ext cx="910359" cy="325361"/>
          <a:chOff x="4393848" y="5142618"/>
          <a:chExt cx="908771" cy="325361"/>
        </a:xfrm>
      </xdr:grpSpPr>
      <xdr:sp macro="" textlink="">
        <xdr:nvSpPr>
          <xdr:cNvPr id="337" name="フローチャート: 手操作入力 336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8" name="テキスト ボックス 337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39" name="正方形/長方形 338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149622</xdr:colOff>
      <xdr:row>28</xdr:row>
      <xdr:rowOff>89807</xdr:rowOff>
    </xdr:from>
    <xdr:ext cx="612378" cy="540737"/>
    <xdr:sp macro="" textlink="">
      <xdr:nvSpPr>
        <xdr:cNvPr id="348" name="テキスト ボックス 347"/>
        <xdr:cNvSpPr txBox="1"/>
      </xdr:nvSpPr>
      <xdr:spPr>
        <a:xfrm>
          <a:off x="3096769" y="10544895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20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29</xdr:row>
      <xdr:rowOff>1990</xdr:rowOff>
    </xdr:from>
    <xdr:to>
      <xdr:col>12</xdr:col>
      <xdr:colOff>400050</xdr:colOff>
      <xdr:row>29</xdr:row>
      <xdr:rowOff>1990</xdr:rowOff>
    </xdr:to>
    <xdr:cxnSp macro="">
      <xdr:nvCxnSpPr>
        <xdr:cNvPr id="349" name="直線コネクタ 348"/>
        <xdr:cNvCxnSpPr/>
      </xdr:nvCxnSpPr>
      <xdr:spPr>
        <a:xfrm>
          <a:off x="3884519" y="10774765"/>
          <a:ext cx="6031006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28</xdr:row>
      <xdr:rowOff>34110</xdr:rowOff>
    </xdr:from>
    <xdr:to>
      <xdr:col>7</xdr:col>
      <xdr:colOff>831312</xdr:colOff>
      <xdr:row>28</xdr:row>
      <xdr:rowOff>359471</xdr:rowOff>
    </xdr:to>
    <xdr:grpSp>
      <xdr:nvGrpSpPr>
        <xdr:cNvPr id="350" name="グループ化 349"/>
        <xdr:cNvGrpSpPr/>
      </xdr:nvGrpSpPr>
      <xdr:grpSpPr>
        <a:xfrm>
          <a:off x="5294641" y="10186173"/>
          <a:ext cx="910359" cy="325361"/>
          <a:chOff x="4393848" y="5142618"/>
          <a:chExt cx="908771" cy="325361"/>
        </a:xfrm>
      </xdr:grpSpPr>
      <xdr:sp macro="" textlink="">
        <xdr:nvSpPr>
          <xdr:cNvPr id="351" name="フローチャート: 手操作入力 350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2" name="テキスト ボックス 351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53" name="正方形/長方形 352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257735</xdr:colOff>
      <xdr:row>22</xdr:row>
      <xdr:rowOff>2132</xdr:rowOff>
    </xdr:from>
    <xdr:to>
      <xdr:col>12</xdr:col>
      <xdr:colOff>476250</xdr:colOff>
      <xdr:row>22</xdr:row>
      <xdr:rowOff>2132</xdr:rowOff>
    </xdr:to>
    <xdr:cxnSp macro="">
      <xdr:nvCxnSpPr>
        <xdr:cNvPr id="362" name="直線コネクタ 361"/>
        <xdr:cNvCxnSpPr/>
      </xdr:nvCxnSpPr>
      <xdr:spPr>
        <a:xfrm>
          <a:off x="302559" y="7375603"/>
          <a:ext cx="9945220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564192</xdr:colOff>
      <xdr:row>13</xdr:row>
      <xdr:rowOff>703533</xdr:rowOff>
    </xdr:from>
    <xdr:to>
      <xdr:col>10</xdr:col>
      <xdr:colOff>1102562</xdr:colOff>
      <xdr:row>13</xdr:row>
      <xdr:rowOff>703533</xdr:rowOff>
    </xdr:to>
    <xdr:cxnSp macro="">
      <xdr:nvCxnSpPr>
        <xdr:cNvPr id="193" name="直線コネクタ 192"/>
        <xdr:cNvCxnSpPr/>
      </xdr:nvCxnSpPr>
      <xdr:spPr>
        <a:xfrm>
          <a:off x="8116957" y="5062621"/>
          <a:ext cx="53837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305483</xdr:colOff>
      <xdr:row>13</xdr:row>
      <xdr:rowOff>692327</xdr:rowOff>
    </xdr:from>
    <xdr:to>
      <xdr:col>11</xdr:col>
      <xdr:colOff>843853</xdr:colOff>
      <xdr:row>13</xdr:row>
      <xdr:rowOff>692327</xdr:rowOff>
    </xdr:to>
    <xdr:cxnSp macro="">
      <xdr:nvCxnSpPr>
        <xdr:cNvPr id="194" name="直線コネクタ 193"/>
        <xdr:cNvCxnSpPr/>
      </xdr:nvCxnSpPr>
      <xdr:spPr>
        <a:xfrm>
          <a:off x="8967630" y="5051415"/>
          <a:ext cx="53837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504263</xdr:colOff>
      <xdr:row>29</xdr:row>
      <xdr:rowOff>35638</xdr:rowOff>
    </xdr:from>
    <xdr:to>
      <xdr:col>10</xdr:col>
      <xdr:colOff>60901</xdr:colOff>
      <xdr:row>29</xdr:row>
      <xdr:rowOff>336177</xdr:rowOff>
    </xdr:to>
    <xdr:sp macro="" textlink="">
      <xdr:nvSpPr>
        <xdr:cNvPr id="197" name="角丸四角形 196"/>
        <xdr:cNvSpPr/>
      </xdr:nvSpPr>
      <xdr:spPr>
        <a:xfrm>
          <a:off x="6824381" y="10815697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29</xdr:row>
      <xdr:rowOff>35592</xdr:rowOff>
    </xdr:from>
    <xdr:to>
      <xdr:col>9</xdr:col>
      <xdr:colOff>63776</xdr:colOff>
      <xdr:row>29</xdr:row>
      <xdr:rowOff>333863</xdr:rowOff>
    </xdr:to>
    <xdr:sp macro="" textlink="">
      <xdr:nvSpPr>
        <xdr:cNvPr id="198" name="角丸四角形 197"/>
        <xdr:cNvSpPr/>
      </xdr:nvSpPr>
      <xdr:spPr>
        <a:xfrm>
          <a:off x="5676900" y="10894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29</xdr:row>
      <xdr:rowOff>67156</xdr:rowOff>
    </xdr:from>
    <xdr:to>
      <xdr:col>9</xdr:col>
      <xdr:colOff>501112</xdr:colOff>
      <xdr:row>29</xdr:row>
      <xdr:rowOff>368750</xdr:rowOff>
    </xdr:to>
    <xdr:sp macro="" textlink="">
      <xdr:nvSpPr>
        <xdr:cNvPr id="199" name="図形 198"/>
        <xdr:cNvSpPr/>
      </xdr:nvSpPr>
      <xdr:spPr>
        <a:xfrm rot="1547545">
          <a:off x="6395762" y="10847215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28</xdr:row>
      <xdr:rowOff>46843</xdr:rowOff>
    </xdr:from>
    <xdr:to>
      <xdr:col>10</xdr:col>
      <xdr:colOff>60901</xdr:colOff>
      <xdr:row>28</xdr:row>
      <xdr:rowOff>347382</xdr:rowOff>
    </xdr:to>
    <xdr:sp macro="" textlink="">
      <xdr:nvSpPr>
        <xdr:cNvPr id="200" name="角丸四角形 199"/>
        <xdr:cNvSpPr/>
      </xdr:nvSpPr>
      <xdr:spPr>
        <a:xfrm>
          <a:off x="6824381" y="10445902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28</xdr:row>
      <xdr:rowOff>78361</xdr:rowOff>
    </xdr:from>
    <xdr:to>
      <xdr:col>9</xdr:col>
      <xdr:colOff>501112</xdr:colOff>
      <xdr:row>28</xdr:row>
      <xdr:rowOff>379955</xdr:rowOff>
    </xdr:to>
    <xdr:sp macro="" textlink="">
      <xdr:nvSpPr>
        <xdr:cNvPr id="202" name="図形 201"/>
        <xdr:cNvSpPr/>
      </xdr:nvSpPr>
      <xdr:spPr>
        <a:xfrm rot="1547545">
          <a:off x="6395762" y="1047742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27</xdr:row>
      <xdr:rowOff>35637</xdr:rowOff>
    </xdr:from>
    <xdr:to>
      <xdr:col>10</xdr:col>
      <xdr:colOff>60901</xdr:colOff>
      <xdr:row>27</xdr:row>
      <xdr:rowOff>336176</xdr:rowOff>
    </xdr:to>
    <xdr:sp macro="" textlink="">
      <xdr:nvSpPr>
        <xdr:cNvPr id="203" name="角丸四角形 202"/>
        <xdr:cNvSpPr/>
      </xdr:nvSpPr>
      <xdr:spPr>
        <a:xfrm>
          <a:off x="6824381" y="10053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27</xdr:row>
      <xdr:rowOff>67155</xdr:rowOff>
    </xdr:from>
    <xdr:to>
      <xdr:col>9</xdr:col>
      <xdr:colOff>501112</xdr:colOff>
      <xdr:row>27</xdr:row>
      <xdr:rowOff>368749</xdr:rowOff>
    </xdr:to>
    <xdr:sp macro="" textlink="">
      <xdr:nvSpPr>
        <xdr:cNvPr id="205" name="図形 204"/>
        <xdr:cNvSpPr/>
      </xdr:nvSpPr>
      <xdr:spPr>
        <a:xfrm rot="1547545">
          <a:off x="6395762" y="10085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26</xdr:row>
      <xdr:rowOff>35637</xdr:rowOff>
    </xdr:from>
    <xdr:to>
      <xdr:col>10</xdr:col>
      <xdr:colOff>60901</xdr:colOff>
      <xdr:row>26</xdr:row>
      <xdr:rowOff>336176</xdr:rowOff>
    </xdr:to>
    <xdr:sp macro="" textlink="">
      <xdr:nvSpPr>
        <xdr:cNvPr id="206" name="角丸四角形 205"/>
        <xdr:cNvSpPr/>
      </xdr:nvSpPr>
      <xdr:spPr>
        <a:xfrm>
          <a:off x="6824381" y="9672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26</xdr:row>
      <xdr:rowOff>67155</xdr:rowOff>
    </xdr:from>
    <xdr:to>
      <xdr:col>9</xdr:col>
      <xdr:colOff>501112</xdr:colOff>
      <xdr:row>26</xdr:row>
      <xdr:rowOff>368749</xdr:rowOff>
    </xdr:to>
    <xdr:sp macro="" textlink="">
      <xdr:nvSpPr>
        <xdr:cNvPr id="210" name="図形 209"/>
        <xdr:cNvSpPr/>
      </xdr:nvSpPr>
      <xdr:spPr>
        <a:xfrm rot="1547545">
          <a:off x="6395762" y="9704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25</xdr:row>
      <xdr:rowOff>58049</xdr:rowOff>
    </xdr:from>
    <xdr:to>
      <xdr:col>10</xdr:col>
      <xdr:colOff>60901</xdr:colOff>
      <xdr:row>25</xdr:row>
      <xdr:rowOff>358588</xdr:rowOff>
    </xdr:to>
    <xdr:sp macro="" textlink="">
      <xdr:nvSpPr>
        <xdr:cNvPr id="211" name="角丸四角形 210"/>
        <xdr:cNvSpPr/>
      </xdr:nvSpPr>
      <xdr:spPr>
        <a:xfrm>
          <a:off x="6824381" y="9314108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25</xdr:row>
      <xdr:rowOff>89567</xdr:rowOff>
    </xdr:from>
    <xdr:to>
      <xdr:col>9</xdr:col>
      <xdr:colOff>501112</xdr:colOff>
      <xdr:row>26</xdr:row>
      <xdr:rowOff>10161</xdr:rowOff>
    </xdr:to>
    <xdr:sp macro="" textlink="">
      <xdr:nvSpPr>
        <xdr:cNvPr id="213" name="図形 212"/>
        <xdr:cNvSpPr/>
      </xdr:nvSpPr>
      <xdr:spPr>
        <a:xfrm rot="1547545">
          <a:off x="6395762" y="9345626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24</xdr:row>
      <xdr:rowOff>46843</xdr:rowOff>
    </xdr:from>
    <xdr:to>
      <xdr:col>10</xdr:col>
      <xdr:colOff>60901</xdr:colOff>
      <xdr:row>24</xdr:row>
      <xdr:rowOff>347382</xdr:rowOff>
    </xdr:to>
    <xdr:sp macro="" textlink="">
      <xdr:nvSpPr>
        <xdr:cNvPr id="214" name="角丸四角形 213"/>
        <xdr:cNvSpPr/>
      </xdr:nvSpPr>
      <xdr:spPr>
        <a:xfrm>
          <a:off x="6824381" y="8921902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24</xdr:row>
      <xdr:rowOff>78361</xdr:rowOff>
    </xdr:from>
    <xdr:to>
      <xdr:col>9</xdr:col>
      <xdr:colOff>501112</xdr:colOff>
      <xdr:row>24</xdr:row>
      <xdr:rowOff>379955</xdr:rowOff>
    </xdr:to>
    <xdr:sp macro="" textlink="">
      <xdr:nvSpPr>
        <xdr:cNvPr id="216" name="図形 215"/>
        <xdr:cNvSpPr/>
      </xdr:nvSpPr>
      <xdr:spPr>
        <a:xfrm rot="1547545">
          <a:off x="6395762" y="895342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23</xdr:row>
      <xdr:rowOff>24432</xdr:rowOff>
    </xdr:from>
    <xdr:to>
      <xdr:col>10</xdr:col>
      <xdr:colOff>60901</xdr:colOff>
      <xdr:row>23</xdr:row>
      <xdr:rowOff>324971</xdr:rowOff>
    </xdr:to>
    <xdr:sp macro="" textlink="">
      <xdr:nvSpPr>
        <xdr:cNvPr id="217" name="角丸四角形 216"/>
        <xdr:cNvSpPr/>
      </xdr:nvSpPr>
      <xdr:spPr>
        <a:xfrm>
          <a:off x="6824381" y="8518491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23</xdr:row>
      <xdr:rowOff>55950</xdr:rowOff>
    </xdr:from>
    <xdr:to>
      <xdr:col>9</xdr:col>
      <xdr:colOff>501112</xdr:colOff>
      <xdr:row>23</xdr:row>
      <xdr:rowOff>357544</xdr:rowOff>
    </xdr:to>
    <xdr:sp macro="" textlink="">
      <xdr:nvSpPr>
        <xdr:cNvPr id="219" name="図形 218"/>
        <xdr:cNvSpPr/>
      </xdr:nvSpPr>
      <xdr:spPr>
        <a:xfrm rot="1547545">
          <a:off x="6395762" y="8550009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22</xdr:row>
      <xdr:rowOff>46843</xdr:rowOff>
    </xdr:from>
    <xdr:to>
      <xdr:col>10</xdr:col>
      <xdr:colOff>60901</xdr:colOff>
      <xdr:row>22</xdr:row>
      <xdr:rowOff>347382</xdr:rowOff>
    </xdr:to>
    <xdr:sp macro="" textlink="">
      <xdr:nvSpPr>
        <xdr:cNvPr id="221" name="角丸四角形 220"/>
        <xdr:cNvSpPr/>
      </xdr:nvSpPr>
      <xdr:spPr>
        <a:xfrm>
          <a:off x="6824381" y="8159902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22</xdr:row>
      <xdr:rowOff>78361</xdr:rowOff>
    </xdr:from>
    <xdr:to>
      <xdr:col>9</xdr:col>
      <xdr:colOff>501112</xdr:colOff>
      <xdr:row>22</xdr:row>
      <xdr:rowOff>379955</xdr:rowOff>
    </xdr:to>
    <xdr:sp macro="" textlink="">
      <xdr:nvSpPr>
        <xdr:cNvPr id="224" name="図形 223"/>
        <xdr:cNvSpPr/>
      </xdr:nvSpPr>
      <xdr:spPr>
        <a:xfrm rot="1547545">
          <a:off x="6395762" y="819142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21</xdr:row>
      <xdr:rowOff>35637</xdr:rowOff>
    </xdr:from>
    <xdr:to>
      <xdr:col>10</xdr:col>
      <xdr:colOff>60901</xdr:colOff>
      <xdr:row>21</xdr:row>
      <xdr:rowOff>336176</xdr:rowOff>
    </xdr:to>
    <xdr:sp macro="" textlink="">
      <xdr:nvSpPr>
        <xdr:cNvPr id="234" name="角丸四角形 233"/>
        <xdr:cNvSpPr/>
      </xdr:nvSpPr>
      <xdr:spPr>
        <a:xfrm>
          <a:off x="6824381" y="7767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21</xdr:row>
      <xdr:rowOff>67155</xdr:rowOff>
    </xdr:from>
    <xdr:to>
      <xdr:col>9</xdr:col>
      <xdr:colOff>501112</xdr:colOff>
      <xdr:row>21</xdr:row>
      <xdr:rowOff>368749</xdr:rowOff>
    </xdr:to>
    <xdr:sp macro="" textlink="">
      <xdr:nvSpPr>
        <xdr:cNvPr id="236" name="図形 235"/>
        <xdr:cNvSpPr/>
      </xdr:nvSpPr>
      <xdr:spPr>
        <a:xfrm rot="1547545">
          <a:off x="6395762" y="7799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20</xdr:row>
      <xdr:rowOff>46843</xdr:rowOff>
    </xdr:from>
    <xdr:to>
      <xdr:col>10</xdr:col>
      <xdr:colOff>60901</xdr:colOff>
      <xdr:row>20</xdr:row>
      <xdr:rowOff>347382</xdr:rowOff>
    </xdr:to>
    <xdr:sp macro="" textlink="">
      <xdr:nvSpPr>
        <xdr:cNvPr id="237" name="角丸四角形 236"/>
        <xdr:cNvSpPr/>
      </xdr:nvSpPr>
      <xdr:spPr>
        <a:xfrm>
          <a:off x="6824381" y="7397902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20</xdr:row>
      <xdr:rowOff>78361</xdr:rowOff>
    </xdr:from>
    <xdr:to>
      <xdr:col>9</xdr:col>
      <xdr:colOff>501112</xdr:colOff>
      <xdr:row>20</xdr:row>
      <xdr:rowOff>379955</xdr:rowOff>
    </xdr:to>
    <xdr:sp macro="" textlink="">
      <xdr:nvSpPr>
        <xdr:cNvPr id="240" name="図形 239"/>
        <xdr:cNvSpPr/>
      </xdr:nvSpPr>
      <xdr:spPr>
        <a:xfrm rot="1547545">
          <a:off x="6395762" y="742942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19</xdr:row>
      <xdr:rowOff>35637</xdr:rowOff>
    </xdr:from>
    <xdr:to>
      <xdr:col>10</xdr:col>
      <xdr:colOff>60901</xdr:colOff>
      <xdr:row>19</xdr:row>
      <xdr:rowOff>336176</xdr:rowOff>
    </xdr:to>
    <xdr:sp macro="" textlink="">
      <xdr:nvSpPr>
        <xdr:cNvPr id="241" name="角丸四角形 240"/>
        <xdr:cNvSpPr/>
      </xdr:nvSpPr>
      <xdr:spPr>
        <a:xfrm>
          <a:off x="6824381" y="7005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19</xdr:row>
      <xdr:rowOff>67155</xdr:rowOff>
    </xdr:from>
    <xdr:to>
      <xdr:col>9</xdr:col>
      <xdr:colOff>501112</xdr:colOff>
      <xdr:row>19</xdr:row>
      <xdr:rowOff>368749</xdr:rowOff>
    </xdr:to>
    <xdr:sp macro="" textlink="">
      <xdr:nvSpPr>
        <xdr:cNvPr id="243" name="図形 242"/>
        <xdr:cNvSpPr/>
      </xdr:nvSpPr>
      <xdr:spPr>
        <a:xfrm rot="1547545">
          <a:off x="6395762" y="7037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18</xdr:row>
      <xdr:rowOff>35637</xdr:rowOff>
    </xdr:from>
    <xdr:to>
      <xdr:col>10</xdr:col>
      <xdr:colOff>60901</xdr:colOff>
      <xdr:row>18</xdr:row>
      <xdr:rowOff>336176</xdr:rowOff>
    </xdr:to>
    <xdr:sp macro="" textlink="">
      <xdr:nvSpPr>
        <xdr:cNvPr id="245" name="角丸四角形 244"/>
        <xdr:cNvSpPr/>
      </xdr:nvSpPr>
      <xdr:spPr>
        <a:xfrm>
          <a:off x="6824381" y="6624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18</xdr:row>
      <xdr:rowOff>67155</xdr:rowOff>
    </xdr:from>
    <xdr:to>
      <xdr:col>9</xdr:col>
      <xdr:colOff>501112</xdr:colOff>
      <xdr:row>18</xdr:row>
      <xdr:rowOff>368749</xdr:rowOff>
    </xdr:to>
    <xdr:sp macro="" textlink="">
      <xdr:nvSpPr>
        <xdr:cNvPr id="247" name="図形 246"/>
        <xdr:cNvSpPr/>
      </xdr:nvSpPr>
      <xdr:spPr>
        <a:xfrm rot="1547545">
          <a:off x="6395762" y="6656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17</xdr:row>
      <xdr:rowOff>35637</xdr:rowOff>
    </xdr:from>
    <xdr:to>
      <xdr:col>10</xdr:col>
      <xdr:colOff>60901</xdr:colOff>
      <xdr:row>17</xdr:row>
      <xdr:rowOff>336176</xdr:rowOff>
    </xdr:to>
    <xdr:sp macro="" textlink="">
      <xdr:nvSpPr>
        <xdr:cNvPr id="248" name="角丸四角形 247"/>
        <xdr:cNvSpPr/>
      </xdr:nvSpPr>
      <xdr:spPr>
        <a:xfrm>
          <a:off x="6824381" y="6243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17</xdr:row>
      <xdr:rowOff>67155</xdr:rowOff>
    </xdr:from>
    <xdr:to>
      <xdr:col>9</xdr:col>
      <xdr:colOff>501112</xdr:colOff>
      <xdr:row>17</xdr:row>
      <xdr:rowOff>368749</xdr:rowOff>
    </xdr:to>
    <xdr:sp macro="" textlink="">
      <xdr:nvSpPr>
        <xdr:cNvPr id="250" name="図形 249"/>
        <xdr:cNvSpPr/>
      </xdr:nvSpPr>
      <xdr:spPr>
        <a:xfrm rot="1547545">
          <a:off x="6395762" y="6275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16</xdr:row>
      <xdr:rowOff>35637</xdr:rowOff>
    </xdr:from>
    <xdr:to>
      <xdr:col>10</xdr:col>
      <xdr:colOff>60901</xdr:colOff>
      <xdr:row>16</xdr:row>
      <xdr:rowOff>336176</xdr:rowOff>
    </xdr:to>
    <xdr:sp macro="" textlink="">
      <xdr:nvSpPr>
        <xdr:cNvPr id="254" name="角丸四角形 253"/>
        <xdr:cNvSpPr/>
      </xdr:nvSpPr>
      <xdr:spPr>
        <a:xfrm>
          <a:off x="6824381" y="5862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16</xdr:row>
      <xdr:rowOff>67155</xdr:rowOff>
    </xdr:from>
    <xdr:to>
      <xdr:col>9</xdr:col>
      <xdr:colOff>501112</xdr:colOff>
      <xdr:row>16</xdr:row>
      <xdr:rowOff>368749</xdr:rowOff>
    </xdr:to>
    <xdr:sp macro="" textlink="">
      <xdr:nvSpPr>
        <xdr:cNvPr id="257" name="図形 256"/>
        <xdr:cNvSpPr/>
      </xdr:nvSpPr>
      <xdr:spPr>
        <a:xfrm rot="1547545">
          <a:off x="6395762" y="5894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15</xdr:row>
      <xdr:rowOff>35637</xdr:rowOff>
    </xdr:from>
    <xdr:to>
      <xdr:col>10</xdr:col>
      <xdr:colOff>60901</xdr:colOff>
      <xdr:row>15</xdr:row>
      <xdr:rowOff>336176</xdr:rowOff>
    </xdr:to>
    <xdr:sp macro="" textlink="">
      <xdr:nvSpPr>
        <xdr:cNvPr id="258" name="角丸四角形 257"/>
        <xdr:cNvSpPr/>
      </xdr:nvSpPr>
      <xdr:spPr>
        <a:xfrm>
          <a:off x="6824381" y="5481696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15</xdr:row>
      <xdr:rowOff>67155</xdr:rowOff>
    </xdr:from>
    <xdr:to>
      <xdr:col>9</xdr:col>
      <xdr:colOff>501112</xdr:colOff>
      <xdr:row>15</xdr:row>
      <xdr:rowOff>368749</xdr:rowOff>
    </xdr:to>
    <xdr:sp macro="" textlink="">
      <xdr:nvSpPr>
        <xdr:cNvPr id="260" name="図形 259"/>
        <xdr:cNvSpPr/>
      </xdr:nvSpPr>
      <xdr:spPr>
        <a:xfrm rot="1547545">
          <a:off x="6395762" y="5513214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14</xdr:row>
      <xdr:rowOff>46842</xdr:rowOff>
    </xdr:from>
    <xdr:to>
      <xdr:col>10</xdr:col>
      <xdr:colOff>60901</xdr:colOff>
      <xdr:row>14</xdr:row>
      <xdr:rowOff>347381</xdr:rowOff>
    </xdr:to>
    <xdr:sp macro="" textlink="">
      <xdr:nvSpPr>
        <xdr:cNvPr id="261" name="角丸四角形 260"/>
        <xdr:cNvSpPr/>
      </xdr:nvSpPr>
      <xdr:spPr>
        <a:xfrm>
          <a:off x="6824381" y="5111901"/>
          <a:ext cx="789285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14</xdr:row>
      <xdr:rowOff>78360</xdr:rowOff>
    </xdr:from>
    <xdr:to>
      <xdr:col>9</xdr:col>
      <xdr:colOff>501112</xdr:colOff>
      <xdr:row>14</xdr:row>
      <xdr:rowOff>379954</xdr:rowOff>
    </xdr:to>
    <xdr:sp macro="" textlink="">
      <xdr:nvSpPr>
        <xdr:cNvPr id="263" name="図形 262"/>
        <xdr:cNvSpPr/>
      </xdr:nvSpPr>
      <xdr:spPr>
        <a:xfrm rot="1547545">
          <a:off x="6395762" y="5143419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</xdr:col>
      <xdr:colOff>246529</xdr:colOff>
      <xdr:row>14</xdr:row>
      <xdr:rowOff>3430</xdr:rowOff>
    </xdr:from>
    <xdr:to>
      <xdr:col>12</xdr:col>
      <xdr:colOff>476250</xdr:colOff>
      <xdr:row>14</xdr:row>
      <xdr:rowOff>3430</xdr:rowOff>
    </xdr:to>
    <xdr:cxnSp macro="">
      <xdr:nvCxnSpPr>
        <xdr:cNvPr id="394" name="直線コネクタ 393"/>
        <xdr:cNvCxnSpPr/>
      </xdr:nvCxnSpPr>
      <xdr:spPr>
        <a:xfrm>
          <a:off x="494179" y="4794505"/>
          <a:ext cx="10459571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941294</xdr:colOff>
      <xdr:row>14</xdr:row>
      <xdr:rowOff>380533</xdr:rowOff>
    </xdr:from>
    <xdr:to>
      <xdr:col>12</xdr:col>
      <xdr:colOff>466725</xdr:colOff>
      <xdr:row>14</xdr:row>
      <xdr:rowOff>380533</xdr:rowOff>
    </xdr:to>
    <xdr:cxnSp macro="">
      <xdr:nvCxnSpPr>
        <xdr:cNvPr id="395" name="直線コネクタ 394"/>
        <xdr:cNvCxnSpPr/>
      </xdr:nvCxnSpPr>
      <xdr:spPr>
        <a:xfrm>
          <a:off x="4280997" y="4946580"/>
          <a:ext cx="6145306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78441</xdr:colOff>
      <xdr:row>13</xdr:row>
      <xdr:rowOff>299357</xdr:rowOff>
    </xdr:from>
    <xdr:ext cx="829234" cy="563495"/>
    <xdr:sp macro="" textlink="">
      <xdr:nvSpPr>
        <xdr:cNvPr id="396" name="テキスト ボックス 395"/>
        <xdr:cNvSpPr txBox="1"/>
      </xdr:nvSpPr>
      <xdr:spPr>
        <a:xfrm>
          <a:off x="3428613" y="3918857"/>
          <a:ext cx="829234" cy="563495"/>
        </a:xfrm>
        <a:prstGeom prst="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endParaRPr kumimoji="1" lang="en-US" altLang="ja-JP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148011</xdr:colOff>
      <xdr:row>13</xdr:row>
      <xdr:rowOff>384857</xdr:rowOff>
    </xdr:from>
    <xdr:ext cx="580372" cy="231467"/>
    <xdr:sp macro="" textlink="">
      <xdr:nvSpPr>
        <xdr:cNvPr id="398" name="テキスト ボックス 397"/>
        <xdr:cNvSpPr txBox="1"/>
      </xdr:nvSpPr>
      <xdr:spPr>
        <a:xfrm>
          <a:off x="3487364" y="4004357"/>
          <a:ext cx="580372" cy="231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メーター</a:t>
          </a:r>
        </a:p>
      </xdr:txBody>
    </xdr:sp>
    <xdr:clientData/>
  </xdr:oneCellAnchor>
  <xdr:oneCellAnchor>
    <xdr:from>
      <xdr:col>6</xdr:col>
      <xdr:colOff>136806</xdr:colOff>
      <xdr:row>13</xdr:row>
      <xdr:rowOff>577280</xdr:rowOff>
    </xdr:from>
    <xdr:ext cx="591578" cy="218338"/>
    <xdr:sp macro="" textlink="">
      <xdr:nvSpPr>
        <xdr:cNvPr id="399" name="テキスト ボックス 398"/>
        <xdr:cNvSpPr txBox="1"/>
      </xdr:nvSpPr>
      <xdr:spPr>
        <a:xfrm>
          <a:off x="3476159" y="4196780"/>
          <a:ext cx="591578" cy="218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口　径</a:t>
          </a:r>
        </a:p>
      </xdr:txBody>
    </xdr:sp>
    <xdr:clientData/>
  </xdr:oneCellAnchor>
  <xdr:oneCellAnchor>
    <xdr:from>
      <xdr:col>4</xdr:col>
      <xdr:colOff>783916</xdr:colOff>
      <xdr:row>13</xdr:row>
      <xdr:rowOff>313765</xdr:rowOff>
    </xdr:from>
    <xdr:ext cx="1175844" cy="560294"/>
    <xdr:sp macro="" textlink="">
      <xdr:nvSpPr>
        <xdr:cNvPr id="401" name="フローチャート: 書類 400"/>
        <xdr:cNvSpPr/>
      </xdr:nvSpPr>
      <xdr:spPr>
        <a:xfrm rot="10800000" flipH="1">
          <a:off x="1803651" y="3933265"/>
          <a:ext cx="1175844" cy="560294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4</xdr:col>
      <xdr:colOff>880940</xdr:colOff>
      <xdr:row>13</xdr:row>
      <xdr:rowOff>442120</xdr:rowOff>
    </xdr:from>
    <xdr:ext cx="1035266" cy="252644"/>
    <xdr:sp macro="" textlink="">
      <xdr:nvSpPr>
        <xdr:cNvPr id="402" name="テキスト ボックス 401"/>
        <xdr:cNvSpPr txBox="1"/>
      </xdr:nvSpPr>
      <xdr:spPr>
        <a:xfrm>
          <a:off x="1900675" y="4061620"/>
          <a:ext cx="1035266" cy="252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8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使用水量</a:t>
          </a:r>
          <a:endParaRPr kumimoji="1" lang="ja-JP" altLang="en-US" sz="11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3</xdr:col>
      <xdr:colOff>46607</xdr:colOff>
      <xdr:row>13</xdr:row>
      <xdr:rowOff>443454</xdr:rowOff>
    </xdr:from>
    <xdr:ext cx="1152423" cy="217693"/>
    <xdr:sp macro="" textlink="">
      <xdr:nvSpPr>
        <xdr:cNvPr id="403" name="テキスト ボックス 402"/>
        <xdr:cNvSpPr txBox="1"/>
      </xdr:nvSpPr>
      <xdr:spPr>
        <a:xfrm>
          <a:off x="506048" y="4062954"/>
          <a:ext cx="1152423" cy="217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使用者</a:t>
          </a:r>
          <a:r>
            <a:rPr kumimoji="1" lang="ja-JP" altLang="en-US" sz="12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の</a:t>
          </a:r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例</a:t>
          </a:r>
          <a:endParaRPr kumimoji="1" lang="ja-JP" altLang="en-US" sz="11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3</xdr:col>
      <xdr:colOff>157905</xdr:colOff>
      <xdr:row>2</xdr:row>
      <xdr:rowOff>100853</xdr:rowOff>
    </xdr:from>
    <xdr:ext cx="3328147" cy="347383"/>
    <xdr:sp macro="" textlink="">
      <xdr:nvSpPr>
        <xdr:cNvPr id="32" name="正方形/長方形 31"/>
        <xdr:cNvSpPr/>
      </xdr:nvSpPr>
      <xdr:spPr>
        <a:xfrm>
          <a:off x="1590796" y="274788"/>
          <a:ext cx="3328147" cy="347383"/>
        </a:xfrm>
        <a:prstGeom prst="rect">
          <a:avLst/>
        </a:prstGeom>
        <a:noFill/>
      </xdr:spPr>
      <xdr:txBody>
        <a:bodyPr wrap="square" lIns="91440" tIns="45720" rIns="91440" bIns="45720">
          <a:prstTxWarp prst="textArchUp">
            <a:avLst/>
          </a:prstTxWarp>
          <a:noAutofit/>
        </a:bodyPr>
        <a:lstStyle/>
        <a:p>
          <a:pPr algn="ctr"/>
          <a:r>
            <a:rPr lang="ja-JP" altLang="en-US" sz="2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水道料金・</a:t>
          </a:r>
          <a:r>
            <a:rPr lang="ja-JP" altLang="en-US" sz="24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chemeClr val="accent6">
                  <a:lumMod val="20000"/>
                  <a:lumOff val="8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下水道使用料</a:t>
          </a:r>
        </a:p>
      </xdr:txBody>
    </xdr:sp>
    <xdr:clientData/>
  </xdr:oneCellAnchor>
  <xdr:oneCellAnchor>
    <xdr:from>
      <xdr:col>3</xdr:col>
      <xdr:colOff>24557</xdr:colOff>
      <xdr:row>3</xdr:row>
      <xdr:rowOff>15565</xdr:rowOff>
    </xdr:from>
    <xdr:ext cx="3731559" cy="496982"/>
    <xdr:sp macro="" textlink="">
      <xdr:nvSpPr>
        <xdr:cNvPr id="404" name="正方形/長方形 403"/>
        <xdr:cNvSpPr/>
      </xdr:nvSpPr>
      <xdr:spPr>
        <a:xfrm>
          <a:off x="1457448" y="429695"/>
          <a:ext cx="3731559" cy="4969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300" b="1" cap="none" spc="0">
              <a:ln w="19050">
                <a:solidFill>
                  <a:schemeClr val="accent5">
                    <a:lumMod val="5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簡易料金シミュレーター</a:t>
          </a:r>
        </a:p>
      </xdr:txBody>
    </xdr:sp>
    <xdr:clientData/>
  </xdr:oneCellAnchor>
  <xdr:twoCellAnchor>
    <xdr:from>
      <xdr:col>3</xdr:col>
      <xdr:colOff>231914</xdr:colOff>
      <xdr:row>5</xdr:row>
      <xdr:rowOff>145381</xdr:rowOff>
    </xdr:from>
    <xdr:to>
      <xdr:col>12</xdr:col>
      <xdr:colOff>629479</xdr:colOff>
      <xdr:row>11</xdr:row>
      <xdr:rowOff>134471</xdr:rowOff>
    </xdr:to>
    <xdr:sp macro="" textlink="">
      <xdr:nvSpPr>
        <xdr:cNvPr id="33" name="フレーム 32"/>
        <xdr:cNvSpPr/>
      </xdr:nvSpPr>
      <xdr:spPr>
        <a:xfrm>
          <a:off x="1664805" y="824555"/>
          <a:ext cx="10146196" cy="2614677"/>
        </a:xfrm>
        <a:prstGeom prst="frame">
          <a:avLst>
            <a:gd name="adj1" fmla="val 31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797857</xdr:colOff>
      <xdr:row>5</xdr:row>
      <xdr:rowOff>356347</xdr:rowOff>
    </xdr:from>
    <xdr:to>
      <xdr:col>8</xdr:col>
      <xdr:colOff>104774</xdr:colOff>
      <xdr:row>7</xdr:row>
      <xdr:rowOff>114300</xdr:rowOff>
    </xdr:to>
    <xdr:sp macro="" textlink="">
      <xdr:nvSpPr>
        <xdr:cNvPr id="406" name="額縁 405"/>
        <xdr:cNvSpPr/>
      </xdr:nvSpPr>
      <xdr:spPr>
        <a:xfrm>
          <a:off x="4141132" y="1042147"/>
          <a:ext cx="1440517" cy="634253"/>
        </a:xfrm>
        <a:prstGeom prst="bevel">
          <a:avLst>
            <a:gd name="adj" fmla="val 595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計算結果が</a:t>
          </a:r>
          <a:endParaRPr kumimoji="1" lang="en-US" altLang="ja-JP" sz="1400" b="1">
            <a:ln w="3175">
              <a:solidFill>
                <a:schemeClr val="accent5">
                  <a:lumMod val="40000"/>
                  <a:lumOff val="60000"/>
                </a:schemeClr>
              </a:solidFill>
            </a:ln>
            <a:solidFill>
              <a:schemeClr val="tx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400" b="1">
              <a:ln w="3175">
                <a:solidFill>
                  <a:schemeClr val="accent5">
                    <a:lumMod val="40000"/>
                    <a:lumOff val="60000"/>
                  </a:schemeClr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表示されます</a:t>
          </a:r>
          <a:endParaRPr kumimoji="1" lang="ja-JP" altLang="en-US" sz="1800" b="1">
            <a:ln w="3175">
              <a:solidFill>
                <a:schemeClr val="accent5">
                  <a:lumMod val="40000"/>
                  <a:lumOff val="60000"/>
                </a:schemeClr>
              </a:solidFill>
            </a:ln>
            <a:solidFill>
              <a:schemeClr val="tx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8</xdr:col>
      <xdr:colOff>1092891</xdr:colOff>
      <xdr:row>7</xdr:row>
      <xdr:rowOff>34348</xdr:rowOff>
    </xdr:from>
    <xdr:to>
      <xdr:col>9</xdr:col>
      <xdr:colOff>184333</xdr:colOff>
      <xdr:row>7</xdr:row>
      <xdr:rowOff>278778</xdr:rowOff>
    </xdr:to>
    <xdr:sp macro="" textlink="">
      <xdr:nvSpPr>
        <xdr:cNvPr id="407" name="図形 406"/>
        <xdr:cNvSpPr/>
      </xdr:nvSpPr>
      <xdr:spPr>
        <a:xfrm rot="2053380">
          <a:off x="6426891" y="2415598"/>
          <a:ext cx="272542" cy="244430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1092890</xdr:colOff>
      <xdr:row>8</xdr:row>
      <xdr:rowOff>53398</xdr:rowOff>
    </xdr:from>
    <xdr:to>
      <xdr:col>9</xdr:col>
      <xdr:colOff>184332</xdr:colOff>
      <xdr:row>8</xdr:row>
      <xdr:rowOff>297828</xdr:rowOff>
    </xdr:to>
    <xdr:sp macro="" textlink="">
      <xdr:nvSpPr>
        <xdr:cNvPr id="408" name="図形 407"/>
        <xdr:cNvSpPr/>
      </xdr:nvSpPr>
      <xdr:spPr>
        <a:xfrm rot="2053380">
          <a:off x="6426890" y="2939473"/>
          <a:ext cx="272542" cy="244430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1092890</xdr:colOff>
      <xdr:row>9</xdr:row>
      <xdr:rowOff>53398</xdr:rowOff>
    </xdr:from>
    <xdr:to>
      <xdr:col>9</xdr:col>
      <xdr:colOff>184332</xdr:colOff>
      <xdr:row>9</xdr:row>
      <xdr:rowOff>297828</xdr:rowOff>
    </xdr:to>
    <xdr:sp macro="" textlink="">
      <xdr:nvSpPr>
        <xdr:cNvPr id="409" name="図形 408"/>
        <xdr:cNvSpPr/>
      </xdr:nvSpPr>
      <xdr:spPr>
        <a:xfrm rot="2053380">
          <a:off x="6426890" y="3444298"/>
          <a:ext cx="272542" cy="244430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342900</xdr:colOff>
      <xdr:row>28</xdr:row>
      <xdr:rowOff>35592</xdr:rowOff>
    </xdr:from>
    <xdr:to>
      <xdr:col>9</xdr:col>
      <xdr:colOff>63776</xdr:colOff>
      <xdr:row>28</xdr:row>
      <xdr:rowOff>333863</xdr:rowOff>
    </xdr:to>
    <xdr:sp macro="" textlink="">
      <xdr:nvSpPr>
        <xdr:cNvPr id="410" name="角丸四角形 409"/>
        <xdr:cNvSpPr/>
      </xdr:nvSpPr>
      <xdr:spPr>
        <a:xfrm>
          <a:off x="5676900" y="10513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27</xdr:row>
      <xdr:rowOff>35592</xdr:rowOff>
    </xdr:from>
    <xdr:to>
      <xdr:col>9</xdr:col>
      <xdr:colOff>63776</xdr:colOff>
      <xdr:row>27</xdr:row>
      <xdr:rowOff>333863</xdr:rowOff>
    </xdr:to>
    <xdr:sp macro="" textlink="">
      <xdr:nvSpPr>
        <xdr:cNvPr id="411" name="角丸四角形 410"/>
        <xdr:cNvSpPr/>
      </xdr:nvSpPr>
      <xdr:spPr>
        <a:xfrm>
          <a:off x="5676900" y="10132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26</xdr:row>
      <xdr:rowOff>45117</xdr:rowOff>
    </xdr:from>
    <xdr:to>
      <xdr:col>9</xdr:col>
      <xdr:colOff>63776</xdr:colOff>
      <xdr:row>26</xdr:row>
      <xdr:rowOff>343388</xdr:rowOff>
    </xdr:to>
    <xdr:sp macro="" textlink="">
      <xdr:nvSpPr>
        <xdr:cNvPr id="412" name="角丸四角形 411"/>
        <xdr:cNvSpPr/>
      </xdr:nvSpPr>
      <xdr:spPr>
        <a:xfrm>
          <a:off x="5676900" y="976061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25</xdr:row>
      <xdr:rowOff>35592</xdr:rowOff>
    </xdr:from>
    <xdr:to>
      <xdr:col>9</xdr:col>
      <xdr:colOff>63776</xdr:colOff>
      <xdr:row>25</xdr:row>
      <xdr:rowOff>333863</xdr:rowOff>
    </xdr:to>
    <xdr:sp macro="" textlink="">
      <xdr:nvSpPr>
        <xdr:cNvPr id="413" name="角丸四角形 412"/>
        <xdr:cNvSpPr/>
      </xdr:nvSpPr>
      <xdr:spPr>
        <a:xfrm>
          <a:off x="5676900" y="9370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24</xdr:row>
      <xdr:rowOff>45117</xdr:rowOff>
    </xdr:from>
    <xdr:to>
      <xdr:col>9</xdr:col>
      <xdr:colOff>63776</xdr:colOff>
      <xdr:row>24</xdr:row>
      <xdr:rowOff>343388</xdr:rowOff>
    </xdr:to>
    <xdr:sp macro="" textlink="">
      <xdr:nvSpPr>
        <xdr:cNvPr id="414" name="角丸四角形 413"/>
        <xdr:cNvSpPr/>
      </xdr:nvSpPr>
      <xdr:spPr>
        <a:xfrm>
          <a:off x="5676900" y="899861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23</xdr:row>
      <xdr:rowOff>26067</xdr:rowOff>
    </xdr:from>
    <xdr:to>
      <xdr:col>9</xdr:col>
      <xdr:colOff>63776</xdr:colOff>
      <xdr:row>23</xdr:row>
      <xdr:rowOff>324338</xdr:rowOff>
    </xdr:to>
    <xdr:sp macro="" textlink="">
      <xdr:nvSpPr>
        <xdr:cNvPr id="415" name="角丸四角形 414"/>
        <xdr:cNvSpPr/>
      </xdr:nvSpPr>
      <xdr:spPr>
        <a:xfrm>
          <a:off x="5676900" y="859856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22</xdr:row>
      <xdr:rowOff>35592</xdr:rowOff>
    </xdr:from>
    <xdr:to>
      <xdr:col>9</xdr:col>
      <xdr:colOff>63776</xdr:colOff>
      <xdr:row>22</xdr:row>
      <xdr:rowOff>333863</xdr:rowOff>
    </xdr:to>
    <xdr:sp macro="" textlink="">
      <xdr:nvSpPr>
        <xdr:cNvPr id="416" name="角丸四角形 415"/>
        <xdr:cNvSpPr/>
      </xdr:nvSpPr>
      <xdr:spPr>
        <a:xfrm>
          <a:off x="5676900" y="8227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21</xdr:row>
      <xdr:rowOff>35592</xdr:rowOff>
    </xdr:from>
    <xdr:to>
      <xdr:col>9</xdr:col>
      <xdr:colOff>63776</xdr:colOff>
      <xdr:row>21</xdr:row>
      <xdr:rowOff>333863</xdr:rowOff>
    </xdr:to>
    <xdr:sp macro="" textlink="">
      <xdr:nvSpPr>
        <xdr:cNvPr id="417" name="角丸四角形 416"/>
        <xdr:cNvSpPr/>
      </xdr:nvSpPr>
      <xdr:spPr>
        <a:xfrm>
          <a:off x="5676900" y="7846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20</xdr:row>
      <xdr:rowOff>35592</xdr:rowOff>
    </xdr:from>
    <xdr:to>
      <xdr:col>9</xdr:col>
      <xdr:colOff>63776</xdr:colOff>
      <xdr:row>20</xdr:row>
      <xdr:rowOff>333863</xdr:rowOff>
    </xdr:to>
    <xdr:sp macro="" textlink="">
      <xdr:nvSpPr>
        <xdr:cNvPr id="418" name="角丸四角形 417"/>
        <xdr:cNvSpPr/>
      </xdr:nvSpPr>
      <xdr:spPr>
        <a:xfrm>
          <a:off x="5676900" y="7465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19</xdr:row>
      <xdr:rowOff>35592</xdr:rowOff>
    </xdr:from>
    <xdr:to>
      <xdr:col>9</xdr:col>
      <xdr:colOff>63776</xdr:colOff>
      <xdr:row>19</xdr:row>
      <xdr:rowOff>333863</xdr:rowOff>
    </xdr:to>
    <xdr:sp macro="" textlink="">
      <xdr:nvSpPr>
        <xdr:cNvPr id="419" name="角丸四角形 418"/>
        <xdr:cNvSpPr/>
      </xdr:nvSpPr>
      <xdr:spPr>
        <a:xfrm>
          <a:off x="5676900" y="7084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18</xdr:row>
      <xdr:rowOff>45117</xdr:rowOff>
    </xdr:from>
    <xdr:to>
      <xdr:col>9</xdr:col>
      <xdr:colOff>63776</xdr:colOff>
      <xdr:row>18</xdr:row>
      <xdr:rowOff>343388</xdr:rowOff>
    </xdr:to>
    <xdr:sp macro="" textlink="">
      <xdr:nvSpPr>
        <xdr:cNvPr id="420" name="角丸四角形 419"/>
        <xdr:cNvSpPr/>
      </xdr:nvSpPr>
      <xdr:spPr>
        <a:xfrm>
          <a:off x="5676900" y="671261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17</xdr:row>
      <xdr:rowOff>35592</xdr:rowOff>
    </xdr:from>
    <xdr:to>
      <xdr:col>9</xdr:col>
      <xdr:colOff>63776</xdr:colOff>
      <xdr:row>17</xdr:row>
      <xdr:rowOff>333863</xdr:rowOff>
    </xdr:to>
    <xdr:sp macro="" textlink="">
      <xdr:nvSpPr>
        <xdr:cNvPr id="421" name="角丸四角形 420"/>
        <xdr:cNvSpPr/>
      </xdr:nvSpPr>
      <xdr:spPr>
        <a:xfrm>
          <a:off x="5676900" y="6322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16</xdr:row>
      <xdr:rowOff>26067</xdr:rowOff>
    </xdr:from>
    <xdr:to>
      <xdr:col>9</xdr:col>
      <xdr:colOff>63776</xdr:colOff>
      <xdr:row>16</xdr:row>
      <xdr:rowOff>324338</xdr:rowOff>
    </xdr:to>
    <xdr:sp macro="" textlink="">
      <xdr:nvSpPr>
        <xdr:cNvPr id="422" name="角丸四角形 421"/>
        <xdr:cNvSpPr/>
      </xdr:nvSpPr>
      <xdr:spPr>
        <a:xfrm>
          <a:off x="5676900" y="593156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15</xdr:row>
      <xdr:rowOff>35592</xdr:rowOff>
    </xdr:from>
    <xdr:to>
      <xdr:col>9</xdr:col>
      <xdr:colOff>63776</xdr:colOff>
      <xdr:row>15</xdr:row>
      <xdr:rowOff>333863</xdr:rowOff>
    </xdr:to>
    <xdr:sp macro="" textlink="">
      <xdr:nvSpPr>
        <xdr:cNvPr id="423" name="角丸四角形 422"/>
        <xdr:cNvSpPr/>
      </xdr:nvSpPr>
      <xdr:spPr>
        <a:xfrm>
          <a:off x="5676900" y="55600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14</xdr:row>
      <xdr:rowOff>45117</xdr:rowOff>
    </xdr:from>
    <xdr:to>
      <xdr:col>9</xdr:col>
      <xdr:colOff>63776</xdr:colOff>
      <xdr:row>14</xdr:row>
      <xdr:rowOff>343388</xdr:rowOff>
    </xdr:to>
    <xdr:sp macro="" textlink="">
      <xdr:nvSpPr>
        <xdr:cNvPr id="424" name="角丸四角形 423"/>
        <xdr:cNvSpPr/>
      </xdr:nvSpPr>
      <xdr:spPr>
        <a:xfrm>
          <a:off x="5676900" y="518861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13</xdr:row>
      <xdr:rowOff>381294</xdr:rowOff>
    </xdr:from>
    <xdr:to>
      <xdr:col>9</xdr:col>
      <xdr:colOff>63776</xdr:colOff>
      <xdr:row>13</xdr:row>
      <xdr:rowOff>773206</xdr:rowOff>
    </xdr:to>
    <xdr:sp macro="" textlink="">
      <xdr:nvSpPr>
        <xdr:cNvPr id="425" name="角丸四角形 424"/>
        <xdr:cNvSpPr/>
      </xdr:nvSpPr>
      <xdr:spPr>
        <a:xfrm>
          <a:off x="5620871" y="4000794"/>
          <a:ext cx="897493" cy="391912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1011642</xdr:colOff>
      <xdr:row>17</xdr:row>
      <xdr:rowOff>33724</xdr:rowOff>
    </xdr:from>
    <xdr:to>
      <xdr:col>8</xdr:col>
      <xdr:colOff>336176</xdr:colOff>
      <xdr:row>17</xdr:row>
      <xdr:rowOff>348677</xdr:rowOff>
    </xdr:to>
    <xdr:grpSp>
      <xdr:nvGrpSpPr>
        <xdr:cNvPr id="426" name="グループ化 425"/>
        <xdr:cNvGrpSpPr/>
      </xdr:nvGrpSpPr>
      <xdr:grpSpPr>
        <a:xfrm>
          <a:off x="5297892" y="5994787"/>
          <a:ext cx="1459722" cy="314953"/>
          <a:chOff x="3826072" y="3675389"/>
          <a:chExt cx="1248371" cy="287578"/>
        </a:xfrm>
      </xdr:grpSpPr>
      <xdr:grpSp>
        <xdr:nvGrpSpPr>
          <xdr:cNvPr id="427" name="グループ化 426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32" name="フローチャート: 手操作入力 431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33" name="正方形/長方形 432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28" name="グループ化 427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30" name="フローチャート: 手操作入力 429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31" name="正方形/長方形 430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29" name="テキスト ボックス 428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1011642</xdr:colOff>
      <xdr:row>19</xdr:row>
      <xdr:rowOff>22518</xdr:rowOff>
    </xdr:from>
    <xdr:to>
      <xdr:col>8</xdr:col>
      <xdr:colOff>336176</xdr:colOff>
      <xdr:row>19</xdr:row>
      <xdr:rowOff>337471</xdr:rowOff>
    </xdr:to>
    <xdr:grpSp>
      <xdr:nvGrpSpPr>
        <xdr:cNvPr id="434" name="グループ化 433"/>
        <xdr:cNvGrpSpPr/>
      </xdr:nvGrpSpPr>
      <xdr:grpSpPr>
        <a:xfrm>
          <a:off x="5297892" y="6745581"/>
          <a:ext cx="1459722" cy="314953"/>
          <a:chOff x="3826072" y="3675389"/>
          <a:chExt cx="1248371" cy="287578"/>
        </a:xfrm>
      </xdr:grpSpPr>
      <xdr:grpSp>
        <xdr:nvGrpSpPr>
          <xdr:cNvPr id="435" name="グループ化 434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40" name="フローチャート: 手操作入力 439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41" name="正方形/長方形 440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36" name="グループ化 435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38" name="フローチャート: 手操作入力 437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39" name="正方形/長方形 438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37" name="テキスト ボックス 436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1011642</xdr:colOff>
      <xdr:row>21</xdr:row>
      <xdr:rowOff>22518</xdr:rowOff>
    </xdr:from>
    <xdr:to>
      <xdr:col>8</xdr:col>
      <xdr:colOff>336176</xdr:colOff>
      <xdr:row>21</xdr:row>
      <xdr:rowOff>337471</xdr:rowOff>
    </xdr:to>
    <xdr:grpSp>
      <xdr:nvGrpSpPr>
        <xdr:cNvPr id="442" name="グループ化 441"/>
        <xdr:cNvGrpSpPr/>
      </xdr:nvGrpSpPr>
      <xdr:grpSpPr>
        <a:xfrm>
          <a:off x="5297892" y="7507581"/>
          <a:ext cx="1459722" cy="314953"/>
          <a:chOff x="3826072" y="3675389"/>
          <a:chExt cx="1248371" cy="287578"/>
        </a:xfrm>
      </xdr:grpSpPr>
      <xdr:grpSp>
        <xdr:nvGrpSpPr>
          <xdr:cNvPr id="443" name="グループ化 442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48" name="フローチャート: 手操作入力 447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49" name="正方形/長方形 448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44" name="グループ化 443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46" name="フローチャート: 手操作入力 445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47" name="正方形/長方形 446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45" name="テキスト ボックス 444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1011642</xdr:colOff>
      <xdr:row>23</xdr:row>
      <xdr:rowOff>22518</xdr:rowOff>
    </xdr:from>
    <xdr:to>
      <xdr:col>8</xdr:col>
      <xdr:colOff>336176</xdr:colOff>
      <xdr:row>23</xdr:row>
      <xdr:rowOff>337471</xdr:rowOff>
    </xdr:to>
    <xdr:grpSp>
      <xdr:nvGrpSpPr>
        <xdr:cNvPr id="450" name="グループ化 449"/>
        <xdr:cNvGrpSpPr/>
      </xdr:nvGrpSpPr>
      <xdr:grpSpPr>
        <a:xfrm>
          <a:off x="5297892" y="8269581"/>
          <a:ext cx="1459722" cy="314953"/>
          <a:chOff x="3826072" y="3675389"/>
          <a:chExt cx="1248371" cy="287578"/>
        </a:xfrm>
      </xdr:grpSpPr>
      <xdr:grpSp>
        <xdr:nvGrpSpPr>
          <xdr:cNvPr id="451" name="グループ化 450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56" name="フローチャート: 手操作入力 455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57" name="正方形/長方形 456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52" name="グループ化 451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54" name="フローチャート: 手操作入力 453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55" name="正方形/長方形 454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53" name="テキスト ボックス 452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1011642</xdr:colOff>
      <xdr:row>25</xdr:row>
      <xdr:rowOff>22518</xdr:rowOff>
    </xdr:from>
    <xdr:to>
      <xdr:col>8</xdr:col>
      <xdr:colOff>336176</xdr:colOff>
      <xdr:row>25</xdr:row>
      <xdr:rowOff>337471</xdr:rowOff>
    </xdr:to>
    <xdr:grpSp>
      <xdr:nvGrpSpPr>
        <xdr:cNvPr id="458" name="グループ化 457"/>
        <xdr:cNvGrpSpPr/>
      </xdr:nvGrpSpPr>
      <xdr:grpSpPr>
        <a:xfrm>
          <a:off x="5297892" y="9031581"/>
          <a:ext cx="1459722" cy="314953"/>
          <a:chOff x="3826072" y="3675389"/>
          <a:chExt cx="1248371" cy="287578"/>
        </a:xfrm>
      </xdr:grpSpPr>
      <xdr:grpSp>
        <xdr:nvGrpSpPr>
          <xdr:cNvPr id="459" name="グループ化 458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64" name="フローチャート: 手操作入力 463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5" name="正方形/長方形 464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60" name="グループ化 459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62" name="フローチャート: 手操作入力 461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3" name="正方形/長方形 462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61" name="テキスト ボックス 460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1011642</xdr:colOff>
      <xdr:row>27</xdr:row>
      <xdr:rowOff>22518</xdr:rowOff>
    </xdr:from>
    <xdr:to>
      <xdr:col>8</xdr:col>
      <xdr:colOff>336176</xdr:colOff>
      <xdr:row>27</xdr:row>
      <xdr:rowOff>337471</xdr:rowOff>
    </xdr:to>
    <xdr:grpSp>
      <xdr:nvGrpSpPr>
        <xdr:cNvPr id="466" name="グループ化 465"/>
        <xdr:cNvGrpSpPr/>
      </xdr:nvGrpSpPr>
      <xdr:grpSpPr>
        <a:xfrm>
          <a:off x="5297892" y="9793581"/>
          <a:ext cx="1459722" cy="314953"/>
          <a:chOff x="3826072" y="3675389"/>
          <a:chExt cx="1248371" cy="287578"/>
        </a:xfrm>
      </xdr:grpSpPr>
      <xdr:grpSp>
        <xdr:nvGrpSpPr>
          <xdr:cNvPr id="467" name="グループ化 466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72" name="フローチャート: 手操作入力 471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73" name="正方形/長方形 472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68" name="グループ化 467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70" name="フローチャート: 手操作入力 469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71" name="正方形/長方形 470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69" name="テキスト ボックス 468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oneCellAnchor>
    <xdr:from>
      <xdr:col>1</xdr:col>
      <xdr:colOff>54429</xdr:colOff>
      <xdr:row>12</xdr:row>
      <xdr:rowOff>46503</xdr:rowOff>
    </xdr:from>
    <xdr:ext cx="2204357" cy="797139"/>
    <xdr:sp macro="" textlink="">
      <xdr:nvSpPr>
        <xdr:cNvPr id="474" name="正方形/長方形 473"/>
        <xdr:cNvSpPr/>
      </xdr:nvSpPr>
      <xdr:spPr>
        <a:xfrm>
          <a:off x="54429" y="3584360"/>
          <a:ext cx="2204357" cy="79713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3600" b="1" cap="none" spc="0">
              <a:ln w="19050">
                <a:solidFill>
                  <a:schemeClr val="accent5">
                    <a:lumMod val="5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早</a:t>
          </a:r>
          <a:r>
            <a:rPr lang="ja-JP" altLang="en-US" sz="3600" b="1" cap="none" spc="0" baseline="0">
              <a:ln w="19050">
                <a:solidFill>
                  <a:schemeClr val="accent5">
                    <a:lumMod val="5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</a:t>
          </a:r>
          <a:r>
            <a:rPr lang="ja-JP" altLang="en-US" sz="3600" b="1" cap="none" spc="0">
              <a:ln w="19050">
                <a:solidFill>
                  <a:schemeClr val="accent5">
                    <a:lumMod val="5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 表</a:t>
          </a:r>
        </a:p>
      </xdr:txBody>
    </xdr:sp>
    <xdr:clientData/>
  </xdr:oneCellAnchor>
  <xdr:twoCellAnchor>
    <xdr:from>
      <xdr:col>6</xdr:col>
      <xdr:colOff>776319</xdr:colOff>
      <xdr:row>9</xdr:row>
      <xdr:rowOff>123372</xdr:rowOff>
    </xdr:from>
    <xdr:to>
      <xdr:col>8</xdr:col>
      <xdr:colOff>100853</xdr:colOff>
      <xdr:row>9</xdr:row>
      <xdr:rowOff>438325</xdr:rowOff>
    </xdr:to>
    <xdr:grpSp>
      <xdr:nvGrpSpPr>
        <xdr:cNvPr id="475" name="グループ化 474"/>
        <xdr:cNvGrpSpPr/>
      </xdr:nvGrpSpPr>
      <xdr:grpSpPr>
        <a:xfrm>
          <a:off x="5062569" y="2710997"/>
          <a:ext cx="1459722" cy="314953"/>
          <a:chOff x="3826072" y="3675389"/>
          <a:chExt cx="1248371" cy="287578"/>
        </a:xfrm>
      </xdr:grpSpPr>
      <xdr:grpSp>
        <xdr:nvGrpSpPr>
          <xdr:cNvPr id="476" name="グループ化 475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81" name="フローチャート: 手操作入力 480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82" name="正方形/長方形 481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77" name="グループ化 476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79" name="フローチャート: 手操作入力 478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80" name="正方形/長方形 479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78" name="テキスト ボックス 477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1</xdr:col>
      <xdr:colOff>28575</xdr:colOff>
      <xdr:row>12</xdr:row>
      <xdr:rowOff>44533</xdr:rowOff>
    </xdr:from>
    <xdr:to>
      <xdr:col>14</xdr:col>
      <xdr:colOff>1237</xdr:colOff>
      <xdr:row>46</xdr:row>
      <xdr:rowOff>5444</xdr:rowOff>
    </xdr:to>
    <xdr:sp macro="" textlink="">
      <xdr:nvSpPr>
        <xdr:cNvPr id="483" name="フレーム 482"/>
        <xdr:cNvSpPr/>
      </xdr:nvSpPr>
      <xdr:spPr>
        <a:xfrm>
          <a:off x="708932" y="3582390"/>
          <a:ext cx="11606769" cy="12846875"/>
        </a:xfrm>
        <a:prstGeom prst="frame">
          <a:avLst>
            <a:gd name="adj1" fmla="val 6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1044480</xdr:colOff>
      <xdr:row>13</xdr:row>
      <xdr:rowOff>420396</xdr:rowOff>
    </xdr:from>
    <xdr:ext cx="1062226" cy="195927"/>
    <xdr:sp macro="" textlink="">
      <xdr:nvSpPr>
        <xdr:cNvPr id="484" name="テキスト ボックス 483"/>
        <xdr:cNvSpPr txBox="1"/>
      </xdr:nvSpPr>
      <xdr:spPr>
        <a:xfrm>
          <a:off x="4383833" y="4039896"/>
          <a:ext cx="1062226" cy="195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5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上水道･下水道</a:t>
          </a:r>
        </a:p>
      </xdr:txBody>
    </xdr:sp>
    <xdr:clientData/>
  </xdr:oneCellAnchor>
  <xdr:oneCellAnchor>
    <xdr:from>
      <xdr:col>8</xdr:col>
      <xdr:colOff>529007</xdr:colOff>
      <xdr:row>13</xdr:row>
      <xdr:rowOff>465221</xdr:rowOff>
    </xdr:from>
    <xdr:ext cx="535551" cy="285574"/>
    <xdr:sp macro="" textlink="">
      <xdr:nvSpPr>
        <xdr:cNvPr id="485" name="テキスト ボックス 484"/>
        <xdr:cNvSpPr txBox="1"/>
      </xdr:nvSpPr>
      <xdr:spPr>
        <a:xfrm>
          <a:off x="5806978" y="4084721"/>
          <a:ext cx="535551" cy="285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5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旧 料 金</a:t>
          </a:r>
        </a:p>
      </xdr:txBody>
    </xdr:sp>
    <xdr:clientData/>
  </xdr:oneCellAnchor>
  <xdr:oneCellAnchor>
    <xdr:from>
      <xdr:col>9</xdr:col>
      <xdr:colOff>708301</xdr:colOff>
      <xdr:row>13</xdr:row>
      <xdr:rowOff>465221</xdr:rowOff>
    </xdr:from>
    <xdr:ext cx="535551" cy="285574"/>
    <xdr:sp macro="" textlink="">
      <xdr:nvSpPr>
        <xdr:cNvPr id="486" name="テキスト ボックス 485"/>
        <xdr:cNvSpPr txBox="1"/>
      </xdr:nvSpPr>
      <xdr:spPr>
        <a:xfrm>
          <a:off x="7162889" y="4084721"/>
          <a:ext cx="535551" cy="285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50" b="1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新 料 金</a:t>
          </a:r>
        </a:p>
      </xdr:txBody>
    </xdr:sp>
    <xdr:clientData/>
  </xdr:oneCellAnchor>
  <xdr:twoCellAnchor>
    <xdr:from>
      <xdr:col>9</xdr:col>
      <xdr:colOff>75644</xdr:colOff>
      <xdr:row>13</xdr:row>
      <xdr:rowOff>358507</xdr:rowOff>
    </xdr:from>
    <xdr:to>
      <xdr:col>9</xdr:col>
      <xdr:colOff>501112</xdr:colOff>
      <xdr:row>13</xdr:row>
      <xdr:rowOff>660101</xdr:rowOff>
    </xdr:to>
    <xdr:sp macro="" textlink="">
      <xdr:nvSpPr>
        <xdr:cNvPr id="487" name="図形 486"/>
        <xdr:cNvSpPr/>
      </xdr:nvSpPr>
      <xdr:spPr>
        <a:xfrm rot="1547545">
          <a:off x="6530232" y="3978007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oneCellAnchor>
    <xdr:from>
      <xdr:col>10</xdr:col>
      <xdr:colOff>562625</xdr:colOff>
      <xdr:row>13</xdr:row>
      <xdr:rowOff>465221</xdr:rowOff>
    </xdr:from>
    <xdr:ext cx="535551" cy="285574"/>
    <xdr:sp macro="" textlink="">
      <xdr:nvSpPr>
        <xdr:cNvPr id="488" name="テキスト ボックス 487"/>
        <xdr:cNvSpPr txBox="1"/>
      </xdr:nvSpPr>
      <xdr:spPr>
        <a:xfrm>
          <a:off x="8361919" y="4084721"/>
          <a:ext cx="535551" cy="285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5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影 響 額</a:t>
          </a:r>
        </a:p>
      </xdr:txBody>
    </xdr:sp>
    <xdr:clientData/>
  </xdr:oneCellAnchor>
  <xdr:oneCellAnchor>
    <xdr:from>
      <xdr:col>11</xdr:col>
      <xdr:colOff>316096</xdr:colOff>
      <xdr:row>13</xdr:row>
      <xdr:rowOff>465221</xdr:rowOff>
    </xdr:from>
    <xdr:ext cx="535551" cy="285574"/>
    <xdr:sp macro="" textlink="">
      <xdr:nvSpPr>
        <xdr:cNvPr id="489" name="テキスト ボックス 488"/>
        <xdr:cNvSpPr txBox="1"/>
      </xdr:nvSpPr>
      <xdr:spPr>
        <a:xfrm>
          <a:off x="9224772" y="4084721"/>
          <a:ext cx="535551" cy="285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5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規</a:t>
          </a:r>
          <a:r>
            <a:rPr kumimoji="1" lang="ja-JP" altLang="en-US" sz="1050" b="1" baseline="0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05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定 率</a:t>
          </a:r>
          <a:endParaRPr kumimoji="1" lang="en-US" altLang="ja-JP" sz="105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1011642</xdr:colOff>
      <xdr:row>29</xdr:row>
      <xdr:rowOff>22518</xdr:rowOff>
    </xdr:from>
    <xdr:to>
      <xdr:col>8</xdr:col>
      <xdr:colOff>336176</xdr:colOff>
      <xdr:row>29</xdr:row>
      <xdr:rowOff>337471</xdr:rowOff>
    </xdr:to>
    <xdr:grpSp>
      <xdr:nvGrpSpPr>
        <xdr:cNvPr id="490" name="グループ化 489"/>
        <xdr:cNvGrpSpPr/>
      </xdr:nvGrpSpPr>
      <xdr:grpSpPr>
        <a:xfrm>
          <a:off x="5297892" y="10555581"/>
          <a:ext cx="1459722" cy="314953"/>
          <a:chOff x="3826072" y="3675389"/>
          <a:chExt cx="1248371" cy="287578"/>
        </a:xfrm>
      </xdr:grpSpPr>
      <xdr:grpSp>
        <xdr:nvGrpSpPr>
          <xdr:cNvPr id="491" name="グループ化 490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496" name="フローチャート: 手操作入力 495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97" name="正方形/長方形 496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92" name="グループ化 491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494" name="フローチャート: 手操作入力 493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95" name="正方形/長方形 494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93" name="テキスト ボックス 492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oneCellAnchor>
    <xdr:from>
      <xdr:col>9</xdr:col>
      <xdr:colOff>634335</xdr:colOff>
      <xdr:row>9</xdr:row>
      <xdr:rowOff>448797</xdr:rowOff>
    </xdr:from>
    <xdr:ext cx="2312813" cy="286562"/>
    <xdr:sp macro="" textlink="">
      <xdr:nvSpPr>
        <xdr:cNvPr id="498" name="テキスト ボックス 497"/>
        <xdr:cNvSpPr txBox="1"/>
      </xdr:nvSpPr>
      <xdr:spPr>
        <a:xfrm>
          <a:off x="7290629" y="3026150"/>
          <a:ext cx="2312813" cy="286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2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を含む料金で計算しています。</a:t>
          </a:r>
        </a:p>
      </xdr:txBody>
    </xdr:sp>
    <xdr:clientData/>
  </xdr:oneCellAnchor>
  <xdr:oneCellAnchor>
    <xdr:from>
      <xdr:col>7</xdr:col>
      <xdr:colOff>645540</xdr:colOff>
      <xdr:row>9</xdr:row>
      <xdr:rowOff>460004</xdr:rowOff>
    </xdr:from>
    <xdr:ext cx="1875783" cy="286562"/>
    <xdr:sp macro="" textlink="">
      <xdr:nvSpPr>
        <xdr:cNvPr id="499" name="テキスト ボックス 498"/>
        <xdr:cNvSpPr txBox="1"/>
      </xdr:nvSpPr>
      <xdr:spPr>
        <a:xfrm>
          <a:off x="5071864" y="3037357"/>
          <a:ext cx="1875783" cy="286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1200" b="1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200" b="1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か月</a:t>
          </a:r>
          <a:r>
            <a:rPr kumimoji="1" lang="ja-JP" altLang="en-US" sz="12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ご使用で、消費税</a:t>
          </a:r>
        </a:p>
      </xdr:txBody>
    </xdr:sp>
    <xdr:clientData/>
  </xdr:oneCellAnchor>
  <xdr:oneCellAnchor>
    <xdr:from>
      <xdr:col>6</xdr:col>
      <xdr:colOff>1066891</xdr:colOff>
      <xdr:row>13</xdr:row>
      <xdr:rowOff>610896</xdr:rowOff>
    </xdr:from>
    <xdr:ext cx="1028609" cy="251958"/>
    <xdr:sp macro="" textlink="">
      <xdr:nvSpPr>
        <xdr:cNvPr id="500" name="テキスト ボックス 499"/>
        <xdr:cNvSpPr txBox="1"/>
      </xdr:nvSpPr>
      <xdr:spPr>
        <a:xfrm>
          <a:off x="4406244" y="4230396"/>
          <a:ext cx="1028609" cy="251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05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使 用 状 況 別 </a:t>
          </a:r>
        </a:p>
      </xdr:txBody>
    </xdr:sp>
    <xdr:clientData/>
  </xdr:oneCellAnchor>
  <xdr:twoCellAnchor>
    <xdr:from>
      <xdr:col>5</xdr:col>
      <xdr:colOff>962476</xdr:colOff>
      <xdr:row>6</xdr:row>
      <xdr:rowOff>261534</xdr:rowOff>
    </xdr:from>
    <xdr:to>
      <xdr:col>6</xdr:col>
      <xdr:colOff>827690</xdr:colOff>
      <xdr:row>8</xdr:row>
      <xdr:rowOff>260472</xdr:rowOff>
    </xdr:to>
    <xdr:sp macro="" textlink="">
      <xdr:nvSpPr>
        <xdr:cNvPr id="58" name="雲形吹き出し 57"/>
        <xdr:cNvSpPr/>
      </xdr:nvSpPr>
      <xdr:spPr>
        <a:xfrm>
          <a:off x="3149942" y="1312568"/>
          <a:ext cx="1027920" cy="1010559"/>
        </a:xfrm>
        <a:prstGeom prst="cloudCallout">
          <a:avLst>
            <a:gd name="adj1" fmla="val -27994"/>
            <a:gd name="adj2" fmla="val 56993"/>
          </a:avLst>
        </a:prstGeom>
        <a:solidFill>
          <a:schemeClr val="bg1"/>
        </a:solidFill>
        <a:ln w="31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oneCellAnchor>
    <xdr:from>
      <xdr:col>5</xdr:col>
      <xdr:colOff>1122907</xdr:colOff>
      <xdr:row>6</xdr:row>
      <xdr:rowOff>373218</xdr:rowOff>
    </xdr:from>
    <xdr:ext cx="1243851" cy="156320"/>
    <xdr:sp macro="" textlink="">
      <xdr:nvSpPr>
        <xdr:cNvPr id="501" name="テキスト ボックス 500"/>
        <xdr:cNvSpPr txBox="1"/>
      </xdr:nvSpPr>
      <xdr:spPr>
        <a:xfrm>
          <a:off x="3310373" y="1424252"/>
          <a:ext cx="1243851" cy="156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ドロップダウン</a:t>
          </a:r>
          <a:endParaRPr kumimoji="1" lang="ja-JP" altLang="en-US" sz="800" b="0">
            <a:ln w="3175">
              <a:noFill/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5</xdr:col>
      <xdr:colOff>1138668</xdr:colOff>
      <xdr:row>7</xdr:row>
      <xdr:rowOff>100341</xdr:rowOff>
    </xdr:from>
    <xdr:ext cx="1142998" cy="189938"/>
    <xdr:sp macro="" textlink="">
      <xdr:nvSpPr>
        <xdr:cNvPr id="502" name="テキスト ボックス 501"/>
        <xdr:cNvSpPr txBox="1"/>
      </xdr:nvSpPr>
      <xdr:spPr>
        <a:xfrm>
          <a:off x="3326134" y="1657186"/>
          <a:ext cx="1142998" cy="189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してください。</a:t>
          </a:r>
        </a:p>
      </xdr:txBody>
    </xdr:sp>
    <xdr:clientData/>
  </xdr:oneCellAnchor>
  <xdr:oneCellAnchor>
    <xdr:from>
      <xdr:col>5</xdr:col>
      <xdr:colOff>1121060</xdr:colOff>
      <xdr:row>6</xdr:row>
      <xdr:rowOff>490445</xdr:rowOff>
    </xdr:from>
    <xdr:ext cx="1243851" cy="156320"/>
    <xdr:sp macro="" textlink="">
      <xdr:nvSpPr>
        <xdr:cNvPr id="503" name="テキスト ボックス 502"/>
        <xdr:cNvSpPr txBox="1"/>
      </xdr:nvSpPr>
      <xdr:spPr>
        <a:xfrm>
          <a:off x="3308526" y="1541479"/>
          <a:ext cx="1243851" cy="156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リストから</a:t>
          </a:r>
          <a:r>
            <a:rPr kumimoji="1" lang="ja-JP" altLang="en-US" sz="700" b="0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</a:t>
          </a:r>
          <a:endParaRPr kumimoji="1" lang="ja-JP" altLang="en-US" sz="800" b="0">
            <a:ln w="3175">
              <a:noFill/>
            </a:ln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5</xdr:col>
      <xdr:colOff>1070703</xdr:colOff>
      <xdr:row>9</xdr:row>
      <xdr:rowOff>467469</xdr:rowOff>
    </xdr:from>
    <xdr:to>
      <xdr:col>6</xdr:col>
      <xdr:colOff>762001</xdr:colOff>
      <xdr:row>12</xdr:row>
      <xdr:rowOff>0</xdr:rowOff>
    </xdr:to>
    <xdr:sp macro="" textlink="">
      <xdr:nvSpPr>
        <xdr:cNvPr id="504" name="雲形吹き出し 503"/>
        <xdr:cNvSpPr/>
      </xdr:nvSpPr>
      <xdr:spPr>
        <a:xfrm>
          <a:off x="3518628" y="3039219"/>
          <a:ext cx="853348" cy="494556"/>
        </a:xfrm>
        <a:prstGeom prst="cloudCallout">
          <a:avLst>
            <a:gd name="adj1" fmla="val -46734"/>
            <a:gd name="adj2" fmla="val -73545"/>
          </a:avLst>
        </a:prstGeom>
        <a:solidFill>
          <a:schemeClr val="bg1"/>
        </a:solidFill>
        <a:ln w="31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oneCellAnchor>
    <xdr:from>
      <xdr:col>6</xdr:col>
      <xdr:colOff>89818</xdr:colOff>
      <xdr:row>9</xdr:row>
      <xdr:rowOff>492777</xdr:rowOff>
    </xdr:from>
    <xdr:ext cx="493058" cy="133908"/>
    <xdr:sp macro="" textlink="">
      <xdr:nvSpPr>
        <xdr:cNvPr id="505" name="テキスト ボックス 504"/>
        <xdr:cNvSpPr txBox="1"/>
      </xdr:nvSpPr>
      <xdr:spPr>
        <a:xfrm>
          <a:off x="3429521" y="3070480"/>
          <a:ext cx="493058" cy="133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ご使用</a:t>
          </a:r>
          <a:r>
            <a:rPr kumimoji="1" lang="ja-JP" altLang="en-US" sz="8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</a:t>
          </a:r>
          <a:endParaRPr kumimoji="1" lang="en-US" altLang="ja-JP" sz="800" b="0">
            <a:ln w="3175">
              <a:noFill/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900" b="0">
            <a:ln w="3175">
              <a:noFill/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96385</xdr:colOff>
      <xdr:row>10</xdr:row>
      <xdr:rowOff>135685</xdr:rowOff>
    </xdr:from>
    <xdr:ext cx="563795" cy="134258"/>
    <xdr:sp macro="" textlink="">
      <xdr:nvSpPr>
        <xdr:cNvPr id="506" name="テキスト ボックス 505"/>
        <xdr:cNvSpPr txBox="1"/>
      </xdr:nvSpPr>
      <xdr:spPr>
        <a:xfrm>
          <a:off x="3446557" y="3209961"/>
          <a:ext cx="563795" cy="134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水量を入力</a:t>
          </a:r>
          <a:endParaRPr kumimoji="1" lang="en-US" altLang="ja-JP" sz="700" b="0">
            <a:ln w="3175">
              <a:noFill/>
            </a:ln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800" b="0">
            <a:ln w="3175">
              <a:noFill/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57628</xdr:colOff>
      <xdr:row>10</xdr:row>
      <xdr:rowOff>223339</xdr:rowOff>
    </xdr:from>
    <xdr:ext cx="635234" cy="116399"/>
    <xdr:sp macro="" textlink="">
      <xdr:nvSpPr>
        <xdr:cNvPr id="507" name="テキスト ボックス 506"/>
        <xdr:cNvSpPr txBox="1"/>
      </xdr:nvSpPr>
      <xdr:spPr>
        <a:xfrm>
          <a:off x="3667603" y="3299914"/>
          <a:ext cx="635234" cy="116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</a:t>
          </a:r>
        </a:p>
      </xdr:txBody>
    </xdr:sp>
    <xdr:clientData/>
  </xdr:oneCellAnchor>
  <xdr:oneCellAnchor>
    <xdr:from>
      <xdr:col>10</xdr:col>
      <xdr:colOff>154886</xdr:colOff>
      <xdr:row>2</xdr:row>
      <xdr:rowOff>89393</xdr:rowOff>
    </xdr:from>
    <xdr:ext cx="2619375" cy="733425"/>
    <xdr:sp macro="" textlink="">
      <xdr:nvSpPr>
        <xdr:cNvPr id="510" name="正方形/長方形 509"/>
        <xdr:cNvSpPr/>
      </xdr:nvSpPr>
      <xdr:spPr>
        <a:xfrm>
          <a:off x="9158082" y="263328"/>
          <a:ext cx="2619375" cy="7334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altLang="ja-JP" sz="3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Goudy Stout" panose="0202090407030B020401" pitchFamily="18" charset="0"/>
              <a:ea typeface="HGS創英角ﾎﾟｯﾌﾟ体" panose="040B0A00000000000000" pitchFamily="50" charset="-128"/>
            </a:rPr>
            <a:t>K</a:t>
          </a:r>
          <a:r>
            <a:rPr lang="en-US" altLang="ja-JP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Goudy Stout" panose="0202090407030B020401" pitchFamily="18" charset="0"/>
              <a:ea typeface="HGS創英角ﾎﾟｯﾌﾟ体" panose="040B0A00000000000000" pitchFamily="50" charset="-128"/>
            </a:rPr>
            <a:t>AWAJIMA</a:t>
          </a:r>
          <a:endParaRPr lang="ja-JP" altLang="en-US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Goudy Stout" panose="0202090407030B020401" pitchFamily="18" charset="0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10</xdr:col>
      <xdr:colOff>789552</xdr:colOff>
      <xdr:row>3</xdr:row>
      <xdr:rowOff>72396</xdr:rowOff>
    </xdr:from>
    <xdr:ext cx="2454263" cy="464561"/>
    <xdr:sp macro="" textlink="">
      <xdr:nvSpPr>
        <xdr:cNvPr id="511" name="正方形/長方形 510"/>
        <xdr:cNvSpPr/>
      </xdr:nvSpPr>
      <xdr:spPr>
        <a:xfrm rot="176302">
          <a:off x="9792748" y="486526"/>
          <a:ext cx="2454263" cy="464561"/>
        </a:xfrm>
        <a:prstGeom prst="rect">
          <a:avLst/>
        </a:prstGeom>
        <a:noFill/>
      </xdr:spPr>
      <xdr:txBody>
        <a:bodyPr wrap="square" lIns="91440" tIns="45720" rIns="91440" bIns="45720">
          <a:prstTxWarp prst="textArchUp">
            <a:avLst/>
          </a:prstTxWarp>
          <a:noAutofit/>
        </a:bodyPr>
        <a:lstStyle/>
        <a:p>
          <a:pPr algn="ctr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かわじま</a:t>
          </a:r>
        </a:p>
      </xdr:txBody>
    </xdr:sp>
    <xdr:clientData/>
  </xdr:oneCellAnchor>
  <xdr:twoCellAnchor>
    <xdr:from>
      <xdr:col>9</xdr:col>
      <xdr:colOff>42334</xdr:colOff>
      <xdr:row>12</xdr:row>
      <xdr:rowOff>75399</xdr:rowOff>
    </xdr:from>
    <xdr:to>
      <xdr:col>9</xdr:col>
      <xdr:colOff>610169</xdr:colOff>
      <xdr:row>13</xdr:row>
      <xdr:rowOff>311061</xdr:rowOff>
    </xdr:to>
    <xdr:pic>
      <xdr:nvPicPr>
        <xdr:cNvPr id="513" name="図 5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91975" y="3385337"/>
          <a:ext cx="567835" cy="551177"/>
        </a:xfrm>
        <a:prstGeom prst="rect">
          <a:avLst/>
        </a:prstGeom>
      </xdr:spPr>
    </xdr:pic>
    <xdr:clientData/>
  </xdr:twoCellAnchor>
  <xdr:oneCellAnchor>
    <xdr:from>
      <xdr:col>9</xdr:col>
      <xdr:colOff>584449</xdr:colOff>
      <xdr:row>12</xdr:row>
      <xdr:rowOff>217334</xdr:rowOff>
    </xdr:from>
    <xdr:ext cx="2277134" cy="289531"/>
    <xdr:sp macro="" textlink="">
      <xdr:nvSpPr>
        <xdr:cNvPr id="514" name="テキスト ボックス 513"/>
        <xdr:cNvSpPr txBox="1"/>
      </xdr:nvSpPr>
      <xdr:spPr>
        <a:xfrm>
          <a:off x="7234090" y="3527272"/>
          <a:ext cx="2277134" cy="289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1200" b="0">
              <a:ln w="3175">
                <a:noFill/>
              </a:ln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0">
              <a:ln w="3175">
                <a:noFill/>
              </a:ln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浄化槽をご使用の方は</a:t>
          </a:r>
          <a:endParaRPr kumimoji="1" lang="ja-JP" altLang="en-US" sz="900" b="0">
            <a:ln w="3175">
              <a:noFill/>
            </a:ln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11</xdr:col>
      <xdr:colOff>602658</xdr:colOff>
      <xdr:row>12</xdr:row>
      <xdr:rowOff>230657</xdr:rowOff>
    </xdr:from>
    <xdr:ext cx="2071486" cy="237257"/>
    <xdr:sp macro="" textlink="">
      <xdr:nvSpPr>
        <xdr:cNvPr id="515" name="テキスト ボックス 514"/>
        <xdr:cNvSpPr txBox="1"/>
      </xdr:nvSpPr>
      <xdr:spPr>
        <a:xfrm>
          <a:off x="9708558" y="3535832"/>
          <a:ext cx="2071486" cy="237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200" b="0">
              <a:ln w="3175">
                <a:noFill/>
              </a:ln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をご確認ください。</a:t>
          </a:r>
        </a:p>
      </xdr:txBody>
    </xdr:sp>
    <xdr:clientData/>
  </xdr:oneCellAnchor>
  <xdr:twoCellAnchor>
    <xdr:from>
      <xdr:col>10</xdr:col>
      <xdr:colOff>984578</xdr:colOff>
      <xdr:row>12</xdr:row>
      <xdr:rowOff>193019</xdr:rowOff>
    </xdr:from>
    <xdr:to>
      <xdr:col>11</xdr:col>
      <xdr:colOff>783687</xdr:colOff>
      <xdr:row>13</xdr:row>
      <xdr:rowOff>202865</xdr:rowOff>
    </xdr:to>
    <xdr:grpSp>
      <xdr:nvGrpSpPr>
        <xdr:cNvPr id="312" name="グループ化 311"/>
        <xdr:cNvGrpSpPr/>
      </xdr:nvGrpSpPr>
      <xdr:grpSpPr>
        <a:xfrm>
          <a:off x="9969828" y="3749019"/>
          <a:ext cx="981797" cy="327346"/>
          <a:chOff x="4393848" y="5142618"/>
          <a:chExt cx="908771" cy="325361"/>
        </a:xfrm>
      </xdr:grpSpPr>
      <xdr:sp macro="" textlink="">
        <xdr:nvSpPr>
          <xdr:cNvPr id="313" name="フローチャート: 手操作入力 312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4" name="テキスト ボックス 313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15" name="正方形/長方形 314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5</xdr:col>
      <xdr:colOff>1146469</xdr:colOff>
      <xdr:row>7</xdr:row>
      <xdr:rowOff>259434</xdr:rowOff>
    </xdr:from>
    <xdr:ext cx="1142998" cy="189938"/>
    <xdr:sp macro="" textlink="">
      <xdr:nvSpPr>
        <xdr:cNvPr id="316" name="テキスト ボックス 315"/>
        <xdr:cNvSpPr txBox="1"/>
      </xdr:nvSpPr>
      <xdr:spPr>
        <a:xfrm>
          <a:off x="3327694" y="1821534"/>
          <a:ext cx="1142998" cy="189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検針表で口径を</a:t>
          </a:r>
        </a:p>
      </xdr:txBody>
    </xdr:sp>
    <xdr:clientData/>
  </xdr:oneCellAnchor>
  <xdr:oneCellAnchor>
    <xdr:from>
      <xdr:col>5</xdr:col>
      <xdr:colOff>1134973</xdr:colOff>
      <xdr:row>7</xdr:row>
      <xdr:rowOff>385680</xdr:rowOff>
    </xdr:from>
    <xdr:ext cx="745597" cy="175967"/>
    <xdr:sp macro="" textlink="">
      <xdr:nvSpPr>
        <xdr:cNvPr id="317" name="テキスト ボックス 316"/>
        <xdr:cNvSpPr txBox="1"/>
      </xdr:nvSpPr>
      <xdr:spPr>
        <a:xfrm>
          <a:off x="3322439" y="1942525"/>
          <a:ext cx="745597" cy="175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700" b="0">
              <a:ln w="3175">
                <a:noFill/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ご確認ください。</a:t>
          </a:r>
        </a:p>
      </xdr:txBody>
    </xdr:sp>
    <xdr:clientData/>
  </xdr:oneCellAnchor>
  <xdr:oneCellAnchor>
    <xdr:from>
      <xdr:col>3</xdr:col>
      <xdr:colOff>694234</xdr:colOff>
      <xdr:row>31</xdr:row>
      <xdr:rowOff>281574</xdr:rowOff>
    </xdr:from>
    <xdr:ext cx="718045" cy="211022"/>
    <xdr:sp macro="" textlink="">
      <xdr:nvSpPr>
        <xdr:cNvPr id="319" name="テキスト ボックス 318"/>
        <xdr:cNvSpPr txBox="1"/>
      </xdr:nvSpPr>
      <xdr:spPr>
        <a:xfrm>
          <a:off x="1438916" y="11538392"/>
          <a:ext cx="718045" cy="211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業務用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810724</xdr:colOff>
      <xdr:row>34</xdr:row>
      <xdr:rowOff>62003</xdr:rowOff>
    </xdr:from>
    <xdr:ext cx="1175844" cy="564931"/>
    <xdr:sp macro="" textlink="">
      <xdr:nvSpPr>
        <xdr:cNvPr id="330" name="フローチャート: 書類 329"/>
        <xdr:cNvSpPr/>
      </xdr:nvSpPr>
      <xdr:spPr>
        <a:xfrm rot="10800000" flipH="1">
          <a:off x="2032165" y="12242797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103597</xdr:colOff>
      <xdr:row>34</xdr:row>
      <xdr:rowOff>139100</xdr:rowOff>
    </xdr:from>
    <xdr:ext cx="820962" cy="345603"/>
    <xdr:sp macro="" textlink="">
      <xdr:nvSpPr>
        <xdr:cNvPr id="331" name="テキスト ボックス 330"/>
        <xdr:cNvSpPr txBox="1"/>
      </xdr:nvSpPr>
      <xdr:spPr>
        <a:xfrm>
          <a:off x="2277538" y="12319894"/>
          <a:ext cx="820962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600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5</xdr:col>
      <xdr:colOff>1075765</xdr:colOff>
      <xdr:row>32</xdr:row>
      <xdr:rowOff>1291</xdr:rowOff>
    </xdr:from>
    <xdr:to>
      <xdr:col>12</xdr:col>
      <xdr:colOff>476250</xdr:colOff>
      <xdr:row>32</xdr:row>
      <xdr:rowOff>1291</xdr:rowOff>
    </xdr:to>
    <xdr:cxnSp macro="">
      <xdr:nvCxnSpPr>
        <xdr:cNvPr id="332" name="直線コネクタ 331"/>
        <xdr:cNvCxnSpPr/>
      </xdr:nvCxnSpPr>
      <xdr:spPr>
        <a:xfrm>
          <a:off x="3249706" y="11420085"/>
          <a:ext cx="7199779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138856</xdr:colOff>
      <xdr:row>30</xdr:row>
      <xdr:rowOff>94055</xdr:rowOff>
    </xdr:from>
    <xdr:ext cx="609538" cy="530679"/>
    <xdr:sp macro="" textlink="">
      <xdr:nvSpPr>
        <xdr:cNvPr id="333" name="テキスト ボックス 332"/>
        <xdr:cNvSpPr txBox="1"/>
      </xdr:nvSpPr>
      <xdr:spPr>
        <a:xfrm>
          <a:off x="3482131" y="9228530"/>
          <a:ext cx="609538" cy="53067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25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31</xdr:row>
      <xdr:rowOff>4536</xdr:rowOff>
    </xdr:from>
    <xdr:to>
      <xdr:col>12</xdr:col>
      <xdr:colOff>466725</xdr:colOff>
      <xdr:row>31</xdr:row>
      <xdr:rowOff>4536</xdr:rowOff>
    </xdr:to>
    <xdr:cxnSp macro="">
      <xdr:nvCxnSpPr>
        <xdr:cNvPr id="340" name="直線コネクタ 339"/>
        <xdr:cNvCxnSpPr/>
      </xdr:nvCxnSpPr>
      <xdr:spPr>
        <a:xfrm>
          <a:off x="4284569" y="9520011"/>
          <a:ext cx="6145306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30</xdr:row>
      <xdr:rowOff>34110</xdr:rowOff>
    </xdr:from>
    <xdr:to>
      <xdr:col>7</xdr:col>
      <xdr:colOff>831312</xdr:colOff>
      <xdr:row>30</xdr:row>
      <xdr:rowOff>359471</xdr:rowOff>
    </xdr:to>
    <xdr:grpSp>
      <xdr:nvGrpSpPr>
        <xdr:cNvPr id="341" name="グループ化 340"/>
        <xdr:cNvGrpSpPr/>
      </xdr:nvGrpSpPr>
      <xdr:grpSpPr>
        <a:xfrm>
          <a:off x="5294641" y="10948173"/>
          <a:ext cx="910359" cy="325361"/>
          <a:chOff x="4393848" y="5142618"/>
          <a:chExt cx="908771" cy="325361"/>
        </a:xfrm>
      </xdr:grpSpPr>
      <xdr:sp macro="" textlink="">
        <xdr:nvSpPr>
          <xdr:cNvPr id="342" name="フローチャート: 手操作入力 341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3" name="テキスト ボックス 342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44" name="正方形/長方形 343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149622</xdr:colOff>
      <xdr:row>32</xdr:row>
      <xdr:rowOff>89807</xdr:rowOff>
    </xdr:from>
    <xdr:ext cx="612378" cy="540737"/>
    <xdr:sp macro="" textlink="">
      <xdr:nvSpPr>
        <xdr:cNvPr id="345" name="テキスト ボックス 344"/>
        <xdr:cNvSpPr txBox="1"/>
      </xdr:nvSpPr>
      <xdr:spPr>
        <a:xfrm>
          <a:off x="3492897" y="9986282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30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33</xdr:row>
      <xdr:rowOff>1990</xdr:rowOff>
    </xdr:from>
    <xdr:to>
      <xdr:col>12</xdr:col>
      <xdr:colOff>400050</xdr:colOff>
      <xdr:row>33</xdr:row>
      <xdr:rowOff>1990</xdr:rowOff>
    </xdr:to>
    <xdr:cxnSp macro="">
      <xdr:nvCxnSpPr>
        <xdr:cNvPr id="346" name="直線コネクタ 345"/>
        <xdr:cNvCxnSpPr/>
      </xdr:nvCxnSpPr>
      <xdr:spPr>
        <a:xfrm>
          <a:off x="4284569" y="10279465"/>
          <a:ext cx="6078631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32</xdr:row>
      <xdr:rowOff>34110</xdr:rowOff>
    </xdr:from>
    <xdr:to>
      <xdr:col>7</xdr:col>
      <xdr:colOff>831312</xdr:colOff>
      <xdr:row>32</xdr:row>
      <xdr:rowOff>359471</xdr:rowOff>
    </xdr:to>
    <xdr:grpSp>
      <xdr:nvGrpSpPr>
        <xdr:cNvPr id="347" name="グループ化 346"/>
        <xdr:cNvGrpSpPr/>
      </xdr:nvGrpSpPr>
      <xdr:grpSpPr>
        <a:xfrm>
          <a:off x="5294641" y="11710173"/>
          <a:ext cx="910359" cy="325361"/>
          <a:chOff x="4393848" y="5142618"/>
          <a:chExt cx="908771" cy="325361"/>
        </a:xfrm>
      </xdr:grpSpPr>
      <xdr:sp macro="" textlink="">
        <xdr:nvSpPr>
          <xdr:cNvPr id="354" name="フローチャート: 手操作入力 353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5" name="テキスト ボックス 354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56" name="正方形/長方形 355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504263</xdr:colOff>
      <xdr:row>33</xdr:row>
      <xdr:rowOff>35638</xdr:rowOff>
    </xdr:from>
    <xdr:to>
      <xdr:col>10</xdr:col>
      <xdr:colOff>60901</xdr:colOff>
      <xdr:row>33</xdr:row>
      <xdr:rowOff>336177</xdr:rowOff>
    </xdr:to>
    <xdr:sp macro="" textlink="">
      <xdr:nvSpPr>
        <xdr:cNvPr id="357" name="角丸四角形 356"/>
        <xdr:cNvSpPr/>
      </xdr:nvSpPr>
      <xdr:spPr>
        <a:xfrm>
          <a:off x="7162238" y="10313113"/>
          <a:ext cx="899663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33</xdr:row>
      <xdr:rowOff>35592</xdr:rowOff>
    </xdr:from>
    <xdr:to>
      <xdr:col>9</xdr:col>
      <xdr:colOff>63776</xdr:colOff>
      <xdr:row>33</xdr:row>
      <xdr:rowOff>333863</xdr:rowOff>
    </xdr:to>
    <xdr:sp macro="" textlink="">
      <xdr:nvSpPr>
        <xdr:cNvPr id="358" name="角丸四角形 357"/>
        <xdr:cNvSpPr/>
      </xdr:nvSpPr>
      <xdr:spPr>
        <a:xfrm>
          <a:off x="5819775" y="1031306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33</xdr:row>
      <xdr:rowOff>67156</xdr:rowOff>
    </xdr:from>
    <xdr:to>
      <xdr:col>9</xdr:col>
      <xdr:colOff>501112</xdr:colOff>
      <xdr:row>33</xdr:row>
      <xdr:rowOff>368750</xdr:rowOff>
    </xdr:to>
    <xdr:sp macro="" textlink="">
      <xdr:nvSpPr>
        <xdr:cNvPr id="359" name="図形 358"/>
        <xdr:cNvSpPr/>
      </xdr:nvSpPr>
      <xdr:spPr>
        <a:xfrm rot="1547545">
          <a:off x="6733619" y="10344631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32</xdr:row>
      <xdr:rowOff>46843</xdr:rowOff>
    </xdr:from>
    <xdr:to>
      <xdr:col>10</xdr:col>
      <xdr:colOff>60901</xdr:colOff>
      <xdr:row>32</xdr:row>
      <xdr:rowOff>347382</xdr:rowOff>
    </xdr:to>
    <xdr:sp macro="" textlink="">
      <xdr:nvSpPr>
        <xdr:cNvPr id="360" name="角丸四角形 359"/>
        <xdr:cNvSpPr/>
      </xdr:nvSpPr>
      <xdr:spPr>
        <a:xfrm>
          <a:off x="7162238" y="9943318"/>
          <a:ext cx="899663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32</xdr:row>
      <xdr:rowOff>78361</xdr:rowOff>
    </xdr:from>
    <xdr:to>
      <xdr:col>9</xdr:col>
      <xdr:colOff>501112</xdr:colOff>
      <xdr:row>32</xdr:row>
      <xdr:rowOff>379955</xdr:rowOff>
    </xdr:to>
    <xdr:sp macro="" textlink="">
      <xdr:nvSpPr>
        <xdr:cNvPr id="361" name="図形 360"/>
        <xdr:cNvSpPr/>
      </xdr:nvSpPr>
      <xdr:spPr>
        <a:xfrm rot="1547545">
          <a:off x="6733619" y="9974836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31</xdr:row>
      <xdr:rowOff>35637</xdr:rowOff>
    </xdr:from>
    <xdr:to>
      <xdr:col>10</xdr:col>
      <xdr:colOff>60901</xdr:colOff>
      <xdr:row>31</xdr:row>
      <xdr:rowOff>336176</xdr:rowOff>
    </xdr:to>
    <xdr:sp macro="" textlink="">
      <xdr:nvSpPr>
        <xdr:cNvPr id="363" name="角丸四角形 362"/>
        <xdr:cNvSpPr/>
      </xdr:nvSpPr>
      <xdr:spPr>
        <a:xfrm>
          <a:off x="7162238" y="9551112"/>
          <a:ext cx="899663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31</xdr:row>
      <xdr:rowOff>67155</xdr:rowOff>
    </xdr:from>
    <xdr:to>
      <xdr:col>9</xdr:col>
      <xdr:colOff>501112</xdr:colOff>
      <xdr:row>31</xdr:row>
      <xdr:rowOff>368749</xdr:rowOff>
    </xdr:to>
    <xdr:sp macro="" textlink="">
      <xdr:nvSpPr>
        <xdr:cNvPr id="364" name="図形 363"/>
        <xdr:cNvSpPr/>
      </xdr:nvSpPr>
      <xdr:spPr>
        <a:xfrm rot="1547545">
          <a:off x="6733619" y="958263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30</xdr:row>
      <xdr:rowOff>35637</xdr:rowOff>
    </xdr:from>
    <xdr:to>
      <xdr:col>10</xdr:col>
      <xdr:colOff>60901</xdr:colOff>
      <xdr:row>30</xdr:row>
      <xdr:rowOff>336176</xdr:rowOff>
    </xdr:to>
    <xdr:sp macro="" textlink="">
      <xdr:nvSpPr>
        <xdr:cNvPr id="392" name="角丸四角形 391"/>
        <xdr:cNvSpPr/>
      </xdr:nvSpPr>
      <xdr:spPr>
        <a:xfrm>
          <a:off x="7162238" y="9170112"/>
          <a:ext cx="899663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30</xdr:row>
      <xdr:rowOff>67155</xdr:rowOff>
    </xdr:from>
    <xdr:to>
      <xdr:col>9</xdr:col>
      <xdr:colOff>501112</xdr:colOff>
      <xdr:row>30</xdr:row>
      <xdr:rowOff>368749</xdr:rowOff>
    </xdr:to>
    <xdr:sp macro="" textlink="">
      <xdr:nvSpPr>
        <xdr:cNvPr id="393" name="図形 392"/>
        <xdr:cNvSpPr/>
      </xdr:nvSpPr>
      <xdr:spPr>
        <a:xfrm rot="1547545">
          <a:off x="6731938" y="10723949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342900</xdr:colOff>
      <xdr:row>32</xdr:row>
      <xdr:rowOff>35592</xdr:rowOff>
    </xdr:from>
    <xdr:to>
      <xdr:col>9</xdr:col>
      <xdr:colOff>63776</xdr:colOff>
      <xdr:row>32</xdr:row>
      <xdr:rowOff>333863</xdr:rowOff>
    </xdr:to>
    <xdr:sp macro="" textlink="">
      <xdr:nvSpPr>
        <xdr:cNvPr id="520" name="角丸四角形 519"/>
        <xdr:cNvSpPr/>
      </xdr:nvSpPr>
      <xdr:spPr>
        <a:xfrm>
          <a:off x="5819775" y="993206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31</xdr:row>
      <xdr:rowOff>35592</xdr:rowOff>
    </xdr:from>
    <xdr:to>
      <xdr:col>9</xdr:col>
      <xdr:colOff>63776</xdr:colOff>
      <xdr:row>31</xdr:row>
      <xdr:rowOff>333863</xdr:rowOff>
    </xdr:to>
    <xdr:sp macro="" textlink="">
      <xdr:nvSpPr>
        <xdr:cNvPr id="521" name="角丸四角形 520"/>
        <xdr:cNvSpPr/>
      </xdr:nvSpPr>
      <xdr:spPr>
        <a:xfrm>
          <a:off x="5819775" y="9551067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30</xdr:row>
      <xdr:rowOff>45117</xdr:rowOff>
    </xdr:from>
    <xdr:to>
      <xdr:col>9</xdr:col>
      <xdr:colOff>63776</xdr:colOff>
      <xdr:row>30</xdr:row>
      <xdr:rowOff>343388</xdr:rowOff>
    </xdr:to>
    <xdr:sp macro="" textlink="">
      <xdr:nvSpPr>
        <xdr:cNvPr id="522" name="角丸四角形 521"/>
        <xdr:cNvSpPr/>
      </xdr:nvSpPr>
      <xdr:spPr>
        <a:xfrm>
          <a:off x="5819775" y="9179592"/>
          <a:ext cx="901976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1011642</xdr:colOff>
      <xdr:row>31</xdr:row>
      <xdr:rowOff>22518</xdr:rowOff>
    </xdr:from>
    <xdr:to>
      <xdr:col>8</xdr:col>
      <xdr:colOff>336176</xdr:colOff>
      <xdr:row>31</xdr:row>
      <xdr:rowOff>337471</xdr:rowOff>
    </xdr:to>
    <xdr:grpSp>
      <xdr:nvGrpSpPr>
        <xdr:cNvPr id="523" name="グループ化 522"/>
        <xdr:cNvGrpSpPr/>
      </xdr:nvGrpSpPr>
      <xdr:grpSpPr>
        <a:xfrm>
          <a:off x="5297892" y="11317581"/>
          <a:ext cx="1459722" cy="314953"/>
          <a:chOff x="3826072" y="3675389"/>
          <a:chExt cx="1248371" cy="287578"/>
        </a:xfrm>
      </xdr:grpSpPr>
      <xdr:grpSp>
        <xdr:nvGrpSpPr>
          <xdr:cNvPr id="524" name="グループ化 523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529" name="フローチャート: 手操作入力 528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30" name="正方形/長方形 529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25" name="グループ化 524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527" name="フローチャート: 手操作入力 526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28" name="正方形/長方形 527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26" name="テキスト ボックス 525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1011642</xdr:colOff>
      <xdr:row>33</xdr:row>
      <xdr:rowOff>22518</xdr:rowOff>
    </xdr:from>
    <xdr:to>
      <xdr:col>8</xdr:col>
      <xdr:colOff>336176</xdr:colOff>
      <xdr:row>33</xdr:row>
      <xdr:rowOff>337471</xdr:rowOff>
    </xdr:to>
    <xdr:grpSp>
      <xdr:nvGrpSpPr>
        <xdr:cNvPr id="531" name="グループ化 530"/>
        <xdr:cNvGrpSpPr/>
      </xdr:nvGrpSpPr>
      <xdr:grpSpPr>
        <a:xfrm>
          <a:off x="5297892" y="12079581"/>
          <a:ext cx="1459722" cy="314953"/>
          <a:chOff x="3826072" y="3675389"/>
          <a:chExt cx="1248371" cy="287578"/>
        </a:xfrm>
      </xdr:grpSpPr>
      <xdr:grpSp>
        <xdr:nvGrpSpPr>
          <xdr:cNvPr id="532" name="グループ化 531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537" name="フローチャート: 手操作入力 536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38" name="正方形/長方形 537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33" name="グループ化 532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535" name="フローチャート: 手操作入力 534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36" name="正方形/長方形 535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34" name="テキスト ボックス 533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5</xdr:col>
      <xdr:colOff>1047750</xdr:colOff>
      <xdr:row>29</xdr:row>
      <xdr:rowOff>372766</xdr:rowOff>
    </xdr:from>
    <xdr:to>
      <xdr:col>12</xdr:col>
      <xdr:colOff>476250</xdr:colOff>
      <xdr:row>29</xdr:row>
      <xdr:rowOff>372766</xdr:rowOff>
    </xdr:to>
    <xdr:cxnSp macro="">
      <xdr:nvCxnSpPr>
        <xdr:cNvPr id="539" name="直線コネクタ 538"/>
        <xdr:cNvCxnSpPr/>
      </xdr:nvCxnSpPr>
      <xdr:spPr>
        <a:xfrm>
          <a:off x="3221691" y="10648560"/>
          <a:ext cx="7227794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149622</xdr:colOff>
      <xdr:row>34</xdr:row>
      <xdr:rowOff>89807</xdr:rowOff>
    </xdr:from>
    <xdr:ext cx="612378" cy="540737"/>
    <xdr:sp macro="" textlink="">
      <xdr:nvSpPr>
        <xdr:cNvPr id="542" name="テキスト ボックス 541"/>
        <xdr:cNvSpPr txBox="1"/>
      </xdr:nvSpPr>
      <xdr:spPr>
        <a:xfrm>
          <a:off x="3488975" y="11508601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30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35</xdr:row>
      <xdr:rowOff>1990</xdr:rowOff>
    </xdr:from>
    <xdr:to>
      <xdr:col>12</xdr:col>
      <xdr:colOff>400050</xdr:colOff>
      <xdr:row>35</xdr:row>
      <xdr:rowOff>1990</xdr:rowOff>
    </xdr:to>
    <xdr:cxnSp macro="">
      <xdr:nvCxnSpPr>
        <xdr:cNvPr id="543" name="直線コネクタ 542"/>
        <xdr:cNvCxnSpPr/>
      </xdr:nvCxnSpPr>
      <xdr:spPr>
        <a:xfrm>
          <a:off x="4280647" y="11801784"/>
          <a:ext cx="6092638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34</xdr:row>
      <xdr:rowOff>34110</xdr:rowOff>
    </xdr:from>
    <xdr:to>
      <xdr:col>7</xdr:col>
      <xdr:colOff>831312</xdr:colOff>
      <xdr:row>34</xdr:row>
      <xdr:rowOff>359471</xdr:rowOff>
    </xdr:to>
    <xdr:grpSp>
      <xdr:nvGrpSpPr>
        <xdr:cNvPr id="544" name="グループ化 543"/>
        <xdr:cNvGrpSpPr/>
      </xdr:nvGrpSpPr>
      <xdr:grpSpPr>
        <a:xfrm>
          <a:off x="5294641" y="12472173"/>
          <a:ext cx="910359" cy="325361"/>
          <a:chOff x="4393848" y="5142618"/>
          <a:chExt cx="908771" cy="325361"/>
        </a:xfrm>
      </xdr:grpSpPr>
      <xdr:sp macro="" textlink="">
        <xdr:nvSpPr>
          <xdr:cNvPr id="545" name="フローチャート: 手操作入力 544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6" name="テキスト ボックス 545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547" name="正方形/長方形 546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504263</xdr:colOff>
      <xdr:row>35</xdr:row>
      <xdr:rowOff>35638</xdr:rowOff>
    </xdr:from>
    <xdr:to>
      <xdr:col>10</xdr:col>
      <xdr:colOff>60901</xdr:colOff>
      <xdr:row>35</xdr:row>
      <xdr:rowOff>336177</xdr:rowOff>
    </xdr:to>
    <xdr:sp macro="" textlink="">
      <xdr:nvSpPr>
        <xdr:cNvPr id="548" name="角丸四角形 547"/>
        <xdr:cNvSpPr/>
      </xdr:nvSpPr>
      <xdr:spPr>
        <a:xfrm>
          <a:off x="7160557" y="11835432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35</xdr:row>
      <xdr:rowOff>35592</xdr:rowOff>
    </xdr:from>
    <xdr:to>
      <xdr:col>9</xdr:col>
      <xdr:colOff>63776</xdr:colOff>
      <xdr:row>35</xdr:row>
      <xdr:rowOff>333863</xdr:rowOff>
    </xdr:to>
    <xdr:sp macro="" textlink="">
      <xdr:nvSpPr>
        <xdr:cNvPr id="549" name="角丸四角形 548"/>
        <xdr:cNvSpPr/>
      </xdr:nvSpPr>
      <xdr:spPr>
        <a:xfrm>
          <a:off x="5822576" y="11835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35</xdr:row>
      <xdr:rowOff>67156</xdr:rowOff>
    </xdr:from>
    <xdr:to>
      <xdr:col>9</xdr:col>
      <xdr:colOff>501112</xdr:colOff>
      <xdr:row>35</xdr:row>
      <xdr:rowOff>368750</xdr:rowOff>
    </xdr:to>
    <xdr:sp macro="" textlink="">
      <xdr:nvSpPr>
        <xdr:cNvPr id="550" name="図形 549"/>
        <xdr:cNvSpPr/>
      </xdr:nvSpPr>
      <xdr:spPr>
        <a:xfrm rot="1547545">
          <a:off x="6731938" y="1186695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34</xdr:row>
      <xdr:rowOff>46843</xdr:rowOff>
    </xdr:from>
    <xdr:to>
      <xdr:col>10</xdr:col>
      <xdr:colOff>60901</xdr:colOff>
      <xdr:row>34</xdr:row>
      <xdr:rowOff>347382</xdr:rowOff>
    </xdr:to>
    <xdr:sp macro="" textlink="">
      <xdr:nvSpPr>
        <xdr:cNvPr id="551" name="角丸四角形 550"/>
        <xdr:cNvSpPr/>
      </xdr:nvSpPr>
      <xdr:spPr>
        <a:xfrm>
          <a:off x="7160557" y="11465637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34</xdr:row>
      <xdr:rowOff>78361</xdr:rowOff>
    </xdr:from>
    <xdr:to>
      <xdr:col>9</xdr:col>
      <xdr:colOff>501112</xdr:colOff>
      <xdr:row>34</xdr:row>
      <xdr:rowOff>379955</xdr:rowOff>
    </xdr:to>
    <xdr:sp macro="" textlink="">
      <xdr:nvSpPr>
        <xdr:cNvPr id="552" name="図形 551"/>
        <xdr:cNvSpPr/>
      </xdr:nvSpPr>
      <xdr:spPr>
        <a:xfrm rot="1547545">
          <a:off x="6731938" y="11497155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342900</xdr:colOff>
      <xdr:row>34</xdr:row>
      <xdr:rowOff>35592</xdr:rowOff>
    </xdr:from>
    <xdr:to>
      <xdr:col>9</xdr:col>
      <xdr:colOff>63776</xdr:colOff>
      <xdr:row>34</xdr:row>
      <xdr:rowOff>333863</xdr:rowOff>
    </xdr:to>
    <xdr:sp macro="" textlink="">
      <xdr:nvSpPr>
        <xdr:cNvPr id="557" name="角丸四角形 556"/>
        <xdr:cNvSpPr/>
      </xdr:nvSpPr>
      <xdr:spPr>
        <a:xfrm>
          <a:off x="5822576" y="11454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1011642</xdr:colOff>
      <xdr:row>35</xdr:row>
      <xdr:rowOff>22518</xdr:rowOff>
    </xdr:from>
    <xdr:to>
      <xdr:col>8</xdr:col>
      <xdr:colOff>336176</xdr:colOff>
      <xdr:row>35</xdr:row>
      <xdr:rowOff>337471</xdr:rowOff>
    </xdr:to>
    <xdr:grpSp>
      <xdr:nvGrpSpPr>
        <xdr:cNvPr id="558" name="グループ化 557"/>
        <xdr:cNvGrpSpPr/>
      </xdr:nvGrpSpPr>
      <xdr:grpSpPr>
        <a:xfrm>
          <a:off x="5297892" y="12841581"/>
          <a:ext cx="1459722" cy="314953"/>
          <a:chOff x="3826072" y="3675389"/>
          <a:chExt cx="1248371" cy="287578"/>
        </a:xfrm>
      </xdr:grpSpPr>
      <xdr:grpSp>
        <xdr:nvGrpSpPr>
          <xdr:cNvPr id="559" name="グループ化 558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564" name="フローチャート: 手操作入力 563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5" name="正方形/長方形 564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60" name="グループ化 559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562" name="フローチャート: 手操作入力 561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3" name="正方形/長方形 562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61" name="テキスト ボックス 560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246529</xdr:colOff>
      <xdr:row>33</xdr:row>
      <xdr:rowOff>380564</xdr:rowOff>
    </xdr:from>
    <xdr:to>
      <xdr:col>12</xdr:col>
      <xdr:colOff>485775</xdr:colOff>
      <xdr:row>33</xdr:row>
      <xdr:rowOff>380564</xdr:rowOff>
    </xdr:to>
    <xdr:cxnSp macro="">
      <xdr:nvCxnSpPr>
        <xdr:cNvPr id="566" name="直線コネクタ 565"/>
        <xdr:cNvCxnSpPr/>
      </xdr:nvCxnSpPr>
      <xdr:spPr>
        <a:xfrm>
          <a:off x="493058" y="12180358"/>
          <a:ext cx="9965952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810724</xdr:colOff>
      <xdr:row>36</xdr:row>
      <xdr:rowOff>62003</xdr:rowOff>
    </xdr:from>
    <xdr:ext cx="1175844" cy="564931"/>
    <xdr:sp macro="" textlink="">
      <xdr:nvSpPr>
        <xdr:cNvPr id="567" name="フローチャート: 書類 566"/>
        <xdr:cNvSpPr/>
      </xdr:nvSpPr>
      <xdr:spPr>
        <a:xfrm rot="10800000" flipH="1">
          <a:off x="2032165" y="12242797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2743</xdr:colOff>
      <xdr:row>36</xdr:row>
      <xdr:rowOff>139100</xdr:rowOff>
    </xdr:from>
    <xdr:ext cx="1039403" cy="345603"/>
    <xdr:sp macro="" textlink="">
      <xdr:nvSpPr>
        <xdr:cNvPr id="568" name="テキスト ボックス 567"/>
        <xdr:cNvSpPr txBox="1"/>
      </xdr:nvSpPr>
      <xdr:spPr>
        <a:xfrm>
          <a:off x="2176684" y="13081894"/>
          <a:ext cx="1039403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1300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149622</xdr:colOff>
      <xdr:row>36</xdr:row>
      <xdr:rowOff>89807</xdr:rowOff>
    </xdr:from>
    <xdr:ext cx="612378" cy="540737"/>
    <xdr:sp macro="" textlink="">
      <xdr:nvSpPr>
        <xdr:cNvPr id="569" name="テキスト ボックス 568"/>
        <xdr:cNvSpPr txBox="1"/>
      </xdr:nvSpPr>
      <xdr:spPr>
        <a:xfrm>
          <a:off x="3488975" y="12270601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40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37</xdr:row>
      <xdr:rowOff>1990</xdr:rowOff>
    </xdr:from>
    <xdr:to>
      <xdr:col>12</xdr:col>
      <xdr:colOff>400050</xdr:colOff>
      <xdr:row>37</xdr:row>
      <xdr:rowOff>1990</xdr:rowOff>
    </xdr:to>
    <xdr:cxnSp macro="">
      <xdr:nvCxnSpPr>
        <xdr:cNvPr id="570" name="直線コネクタ 569"/>
        <xdr:cNvCxnSpPr/>
      </xdr:nvCxnSpPr>
      <xdr:spPr>
        <a:xfrm>
          <a:off x="4280647" y="12563784"/>
          <a:ext cx="6092638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36</xdr:row>
      <xdr:rowOff>34110</xdr:rowOff>
    </xdr:from>
    <xdr:to>
      <xdr:col>7</xdr:col>
      <xdr:colOff>831312</xdr:colOff>
      <xdr:row>36</xdr:row>
      <xdr:rowOff>359471</xdr:rowOff>
    </xdr:to>
    <xdr:grpSp>
      <xdr:nvGrpSpPr>
        <xdr:cNvPr id="571" name="グループ化 570"/>
        <xdr:cNvGrpSpPr/>
      </xdr:nvGrpSpPr>
      <xdr:grpSpPr>
        <a:xfrm>
          <a:off x="5294641" y="13234173"/>
          <a:ext cx="910359" cy="325361"/>
          <a:chOff x="4393848" y="5142618"/>
          <a:chExt cx="908771" cy="325361"/>
        </a:xfrm>
      </xdr:grpSpPr>
      <xdr:sp macro="" textlink="">
        <xdr:nvSpPr>
          <xdr:cNvPr id="572" name="フローチャート: 手操作入力 571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3" name="テキスト ボックス 572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574" name="正方形/長方形 573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504263</xdr:colOff>
      <xdr:row>37</xdr:row>
      <xdr:rowOff>35638</xdr:rowOff>
    </xdr:from>
    <xdr:to>
      <xdr:col>10</xdr:col>
      <xdr:colOff>60901</xdr:colOff>
      <xdr:row>37</xdr:row>
      <xdr:rowOff>336177</xdr:rowOff>
    </xdr:to>
    <xdr:sp macro="" textlink="">
      <xdr:nvSpPr>
        <xdr:cNvPr id="575" name="角丸四角形 574"/>
        <xdr:cNvSpPr/>
      </xdr:nvSpPr>
      <xdr:spPr>
        <a:xfrm>
          <a:off x="7160557" y="12597432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37</xdr:row>
      <xdr:rowOff>35592</xdr:rowOff>
    </xdr:from>
    <xdr:to>
      <xdr:col>9</xdr:col>
      <xdr:colOff>63776</xdr:colOff>
      <xdr:row>37</xdr:row>
      <xdr:rowOff>333863</xdr:rowOff>
    </xdr:to>
    <xdr:sp macro="" textlink="">
      <xdr:nvSpPr>
        <xdr:cNvPr id="576" name="角丸四角形 575"/>
        <xdr:cNvSpPr/>
      </xdr:nvSpPr>
      <xdr:spPr>
        <a:xfrm>
          <a:off x="5822576" y="12597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37</xdr:row>
      <xdr:rowOff>67156</xdr:rowOff>
    </xdr:from>
    <xdr:to>
      <xdr:col>9</xdr:col>
      <xdr:colOff>501112</xdr:colOff>
      <xdr:row>37</xdr:row>
      <xdr:rowOff>368750</xdr:rowOff>
    </xdr:to>
    <xdr:sp macro="" textlink="">
      <xdr:nvSpPr>
        <xdr:cNvPr id="577" name="図形 576"/>
        <xdr:cNvSpPr/>
      </xdr:nvSpPr>
      <xdr:spPr>
        <a:xfrm rot="1547545">
          <a:off x="6731938" y="1262895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36</xdr:row>
      <xdr:rowOff>46843</xdr:rowOff>
    </xdr:from>
    <xdr:to>
      <xdr:col>10</xdr:col>
      <xdr:colOff>60901</xdr:colOff>
      <xdr:row>36</xdr:row>
      <xdr:rowOff>347382</xdr:rowOff>
    </xdr:to>
    <xdr:sp macro="" textlink="">
      <xdr:nvSpPr>
        <xdr:cNvPr id="578" name="角丸四角形 577"/>
        <xdr:cNvSpPr/>
      </xdr:nvSpPr>
      <xdr:spPr>
        <a:xfrm>
          <a:off x="7160557" y="12227637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36</xdr:row>
      <xdr:rowOff>78361</xdr:rowOff>
    </xdr:from>
    <xdr:to>
      <xdr:col>9</xdr:col>
      <xdr:colOff>501112</xdr:colOff>
      <xdr:row>36</xdr:row>
      <xdr:rowOff>379955</xdr:rowOff>
    </xdr:to>
    <xdr:sp macro="" textlink="">
      <xdr:nvSpPr>
        <xdr:cNvPr id="579" name="図形 578"/>
        <xdr:cNvSpPr/>
      </xdr:nvSpPr>
      <xdr:spPr>
        <a:xfrm rot="1547545">
          <a:off x="6731938" y="12259155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342900</xdr:colOff>
      <xdr:row>36</xdr:row>
      <xdr:rowOff>35592</xdr:rowOff>
    </xdr:from>
    <xdr:to>
      <xdr:col>9</xdr:col>
      <xdr:colOff>63776</xdr:colOff>
      <xdr:row>36</xdr:row>
      <xdr:rowOff>333863</xdr:rowOff>
    </xdr:to>
    <xdr:sp macro="" textlink="">
      <xdr:nvSpPr>
        <xdr:cNvPr id="584" name="角丸四角形 583"/>
        <xdr:cNvSpPr/>
      </xdr:nvSpPr>
      <xdr:spPr>
        <a:xfrm>
          <a:off x="5822576" y="12216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1011642</xdr:colOff>
      <xdr:row>37</xdr:row>
      <xdr:rowOff>22518</xdr:rowOff>
    </xdr:from>
    <xdr:to>
      <xdr:col>8</xdr:col>
      <xdr:colOff>336176</xdr:colOff>
      <xdr:row>37</xdr:row>
      <xdr:rowOff>337471</xdr:rowOff>
    </xdr:to>
    <xdr:grpSp>
      <xdr:nvGrpSpPr>
        <xdr:cNvPr id="585" name="グループ化 584"/>
        <xdr:cNvGrpSpPr/>
      </xdr:nvGrpSpPr>
      <xdr:grpSpPr>
        <a:xfrm>
          <a:off x="5297892" y="13603581"/>
          <a:ext cx="1459722" cy="314953"/>
          <a:chOff x="3826072" y="3675389"/>
          <a:chExt cx="1248371" cy="287578"/>
        </a:xfrm>
      </xdr:grpSpPr>
      <xdr:grpSp>
        <xdr:nvGrpSpPr>
          <xdr:cNvPr id="586" name="グループ化 585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591" name="フローチャート: 手操作入力 590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92" name="正方形/長方形 591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87" name="グループ化 586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589" name="フローチャート: 手操作入力 588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90" name="正方形/長方形 589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88" name="テキスト ボックス 587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4</xdr:col>
      <xdr:colOff>695739</xdr:colOff>
      <xdr:row>35</xdr:row>
      <xdr:rowOff>380564</xdr:rowOff>
    </xdr:from>
    <xdr:to>
      <xdr:col>12</xdr:col>
      <xdr:colOff>485775</xdr:colOff>
      <xdr:row>35</xdr:row>
      <xdr:rowOff>380564</xdr:rowOff>
    </xdr:to>
    <xdr:cxnSp macro="">
      <xdr:nvCxnSpPr>
        <xdr:cNvPr id="593" name="直線コネクタ 592"/>
        <xdr:cNvCxnSpPr/>
      </xdr:nvCxnSpPr>
      <xdr:spPr>
        <a:xfrm>
          <a:off x="1929848" y="12945281"/>
          <a:ext cx="8528188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810724</xdr:colOff>
      <xdr:row>38</xdr:row>
      <xdr:rowOff>62003</xdr:rowOff>
    </xdr:from>
    <xdr:ext cx="1175844" cy="564931"/>
    <xdr:sp macro="" textlink="">
      <xdr:nvSpPr>
        <xdr:cNvPr id="540" name="フローチャート: 書類 539"/>
        <xdr:cNvSpPr/>
      </xdr:nvSpPr>
      <xdr:spPr>
        <a:xfrm rot="10800000" flipH="1">
          <a:off x="2032165" y="13004797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2743</xdr:colOff>
      <xdr:row>38</xdr:row>
      <xdr:rowOff>139100</xdr:rowOff>
    </xdr:from>
    <xdr:ext cx="1039403" cy="345603"/>
    <xdr:sp macro="" textlink="">
      <xdr:nvSpPr>
        <xdr:cNvPr id="541" name="テキスト ボックス 540"/>
        <xdr:cNvSpPr txBox="1"/>
      </xdr:nvSpPr>
      <xdr:spPr>
        <a:xfrm>
          <a:off x="2176684" y="13081894"/>
          <a:ext cx="1039403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2000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149622</xdr:colOff>
      <xdr:row>38</xdr:row>
      <xdr:rowOff>89807</xdr:rowOff>
    </xdr:from>
    <xdr:ext cx="612378" cy="540737"/>
    <xdr:sp macro="" textlink="">
      <xdr:nvSpPr>
        <xdr:cNvPr id="594" name="テキスト ボックス 593"/>
        <xdr:cNvSpPr txBox="1"/>
      </xdr:nvSpPr>
      <xdr:spPr>
        <a:xfrm>
          <a:off x="3488975" y="13032601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50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39</xdr:row>
      <xdr:rowOff>1990</xdr:rowOff>
    </xdr:from>
    <xdr:to>
      <xdr:col>12</xdr:col>
      <xdr:colOff>400050</xdr:colOff>
      <xdr:row>39</xdr:row>
      <xdr:rowOff>1990</xdr:rowOff>
    </xdr:to>
    <xdr:cxnSp macro="">
      <xdr:nvCxnSpPr>
        <xdr:cNvPr id="595" name="直線コネクタ 594"/>
        <xdr:cNvCxnSpPr/>
      </xdr:nvCxnSpPr>
      <xdr:spPr>
        <a:xfrm>
          <a:off x="4280647" y="13325784"/>
          <a:ext cx="6092638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38</xdr:row>
      <xdr:rowOff>34110</xdr:rowOff>
    </xdr:from>
    <xdr:to>
      <xdr:col>7</xdr:col>
      <xdr:colOff>831312</xdr:colOff>
      <xdr:row>38</xdr:row>
      <xdr:rowOff>359471</xdr:rowOff>
    </xdr:to>
    <xdr:grpSp>
      <xdr:nvGrpSpPr>
        <xdr:cNvPr id="596" name="グループ化 595"/>
        <xdr:cNvGrpSpPr/>
      </xdr:nvGrpSpPr>
      <xdr:grpSpPr>
        <a:xfrm>
          <a:off x="5294641" y="13996173"/>
          <a:ext cx="910359" cy="325361"/>
          <a:chOff x="4393848" y="5142618"/>
          <a:chExt cx="908771" cy="325361"/>
        </a:xfrm>
      </xdr:grpSpPr>
      <xdr:sp macro="" textlink="">
        <xdr:nvSpPr>
          <xdr:cNvPr id="597" name="フローチャート: 手操作入力 596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8" name="テキスト ボックス 597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599" name="正方形/長方形 598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504263</xdr:colOff>
      <xdr:row>39</xdr:row>
      <xdr:rowOff>35638</xdr:rowOff>
    </xdr:from>
    <xdr:to>
      <xdr:col>10</xdr:col>
      <xdr:colOff>60901</xdr:colOff>
      <xdr:row>39</xdr:row>
      <xdr:rowOff>336177</xdr:rowOff>
    </xdr:to>
    <xdr:sp macro="" textlink="">
      <xdr:nvSpPr>
        <xdr:cNvPr id="600" name="角丸四角形 599"/>
        <xdr:cNvSpPr/>
      </xdr:nvSpPr>
      <xdr:spPr>
        <a:xfrm>
          <a:off x="7160557" y="13359432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39</xdr:row>
      <xdr:rowOff>35592</xdr:rowOff>
    </xdr:from>
    <xdr:to>
      <xdr:col>9</xdr:col>
      <xdr:colOff>63776</xdr:colOff>
      <xdr:row>39</xdr:row>
      <xdr:rowOff>333863</xdr:rowOff>
    </xdr:to>
    <xdr:sp macro="" textlink="">
      <xdr:nvSpPr>
        <xdr:cNvPr id="601" name="角丸四角形 600"/>
        <xdr:cNvSpPr/>
      </xdr:nvSpPr>
      <xdr:spPr>
        <a:xfrm>
          <a:off x="5822576" y="13359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39</xdr:row>
      <xdr:rowOff>67156</xdr:rowOff>
    </xdr:from>
    <xdr:to>
      <xdr:col>9</xdr:col>
      <xdr:colOff>501112</xdr:colOff>
      <xdr:row>39</xdr:row>
      <xdr:rowOff>368750</xdr:rowOff>
    </xdr:to>
    <xdr:sp macro="" textlink="">
      <xdr:nvSpPr>
        <xdr:cNvPr id="602" name="図形 601"/>
        <xdr:cNvSpPr/>
      </xdr:nvSpPr>
      <xdr:spPr>
        <a:xfrm rot="1547545">
          <a:off x="6731938" y="1339095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38</xdr:row>
      <xdr:rowOff>46843</xdr:rowOff>
    </xdr:from>
    <xdr:to>
      <xdr:col>10</xdr:col>
      <xdr:colOff>60901</xdr:colOff>
      <xdr:row>38</xdr:row>
      <xdr:rowOff>347382</xdr:rowOff>
    </xdr:to>
    <xdr:sp macro="" textlink="">
      <xdr:nvSpPr>
        <xdr:cNvPr id="603" name="角丸四角形 602"/>
        <xdr:cNvSpPr/>
      </xdr:nvSpPr>
      <xdr:spPr>
        <a:xfrm>
          <a:off x="7160557" y="12989637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38</xdr:row>
      <xdr:rowOff>78361</xdr:rowOff>
    </xdr:from>
    <xdr:to>
      <xdr:col>9</xdr:col>
      <xdr:colOff>501112</xdr:colOff>
      <xdr:row>38</xdr:row>
      <xdr:rowOff>379955</xdr:rowOff>
    </xdr:to>
    <xdr:sp macro="" textlink="">
      <xdr:nvSpPr>
        <xdr:cNvPr id="604" name="図形 603"/>
        <xdr:cNvSpPr/>
      </xdr:nvSpPr>
      <xdr:spPr>
        <a:xfrm rot="1547545">
          <a:off x="6731938" y="13021155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342900</xdr:colOff>
      <xdr:row>38</xdr:row>
      <xdr:rowOff>35592</xdr:rowOff>
    </xdr:from>
    <xdr:to>
      <xdr:col>9</xdr:col>
      <xdr:colOff>63776</xdr:colOff>
      <xdr:row>38</xdr:row>
      <xdr:rowOff>333863</xdr:rowOff>
    </xdr:to>
    <xdr:sp macro="" textlink="">
      <xdr:nvSpPr>
        <xdr:cNvPr id="609" name="角丸四角形 608"/>
        <xdr:cNvSpPr/>
      </xdr:nvSpPr>
      <xdr:spPr>
        <a:xfrm>
          <a:off x="5822576" y="12978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1011642</xdr:colOff>
      <xdr:row>39</xdr:row>
      <xdr:rowOff>22518</xdr:rowOff>
    </xdr:from>
    <xdr:to>
      <xdr:col>8</xdr:col>
      <xdr:colOff>336176</xdr:colOff>
      <xdr:row>39</xdr:row>
      <xdr:rowOff>337471</xdr:rowOff>
    </xdr:to>
    <xdr:grpSp>
      <xdr:nvGrpSpPr>
        <xdr:cNvPr id="610" name="グループ化 609"/>
        <xdr:cNvGrpSpPr/>
      </xdr:nvGrpSpPr>
      <xdr:grpSpPr>
        <a:xfrm>
          <a:off x="5297892" y="14365581"/>
          <a:ext cx="1459722" cy="314953"/>
          <a:chOff x="3826072" y="3675389"/>
          <a:chExt cx="1248371" cy="287578"/>
        </a:xfrm>
      </xdr:grpSpPr>
      <xdr:grpSp>
        <xdr:nvGrpSpPr>
          <xdr:cNvPr id="611" name="グループ化 610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616" name="フローチャート: 手操作入力 615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17" name="正方形/長方形 616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612" name="グループ化 611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614" name="フローチャート: 手操作入力 613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15" name="正方形/長方形 614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13" name="テキスト ボックス 612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4</xdr:col>
      <xdr:colOff>695739</xdr:colOff>
      <xdr:row>37</xdr:row>
      <xdr:rowOff>380564</xdr:rowOff>
    </xdr:from>
    <xdr:to>
      <xdr:col>12</xdr:col>
      <xdr:colOff>485775</xdr:colOff>
      <xdr:row>37</xdr:row>
      <xdr:rowOff>380564</xdr:rowOff>
    </xdr:to>
    <xdr:cxnSp macro="">
      <xdr:nvCxnSpPr>
        <xdr:cNvPr id="618" name="直線コネクタ 617"/>
        <xdr:cNvCxnSpPr/>
      </xdr:nvCxnSpPr>
      <xdr:spPr>
        <a:xfrm>
          <a:off x="1917180" y="13704358"/>
          <a:ext cx="8541830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810724</xdr:colOff>
      <xdr:row>40</xdr:row>
      <xdr:rowOff>62003</xdr:rowOff>
    </xdr:from>
    <xdr:ext cx="1175844" cy="564931"/>
    <xdr:sp macro="" textlink="">
      <xdr:nvSpPr>
        <xdr:cNvPr id="619" name="フローチャート: 書類 618"/>
        <xdr:cNvSpPr/>
      </xdr:nvSpPr>
      <xdr:spPr>
        <a:xfrm rot="10800000" flipH="1">
          <a:off x="2032165" y="13766797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2743</xdr:colOff>
      <xdr:row>40</xdr:row>
      <xdr:rowOff>139100</xdr:rowOff>
    </xdr:from>
    <xdr:ext cx="1039403" cy="345603"/>
    <xdr:sp macro="" textlink="">
      <xdr:nvSpPr>
        <xdr:cNvPr id="620" name="テキスト ボックス 619"/>
        <xdr:cNvSpPr txBox="1"/>
      </xdr:nvSpPr>
      <xdr:spPr>
        <a:xfrm>
          <a:off x="2176684" y="13843894"/>
          <a:ext cx="1039403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3400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149622</xdr:colOff>
      <xdr:row>40</xdr:row>
      <xdr:rowOff>89807</xdr:rowOff>
    </xdr:from>
    <xdr:ext cx="612378" cy="540737"/>
    <xdr:sp macro="" textlink="">
      <xdr:nvSpPr>
        <xdr:cNvPr id="621" name="テキスト ボックス 620"/>
        <xdr:cNvSpPr txBox="1"/>
      </xdr:nvSpPr>
      <xdr:spPr>
        <a:xfrm>
          <a:off x="3488975" y="13794601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75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41</xdr:row>
      <xdr:rowOff>1990</xdr:rowOff>
    </xdr:from>
    <xdr:to>
      <xdr:col>12</xdr:col>
      <xdr:colOff>400050</xdr:colOff>
      <xdr:row>41</xdr:row>
      <xdr:rowOff>1990</xdr:rowOff>
    </xdr:to>
    <xdr:cxnSp macro="">
      <xdr:nvCxnSpPr>
        <xdr:cNvPr id="622" name="直線コネクタ 621"/>
        <xdr:cNvCxnSpPr/>
      </xdr:nvCxnSpPr>
      <xdr:spPr>
        <a:xfrm>
          <a:off x="4280647" y="14087784"/>
          <a:ext cx="6092638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40</xdr:row>
      <xdr:rowOff>34110</xdr:rowOff>
    </xdr:from>
    <xdr:to>
      <xdr:col>7</xdr:col>
      <xdr:colOff>831312</xdr:colOff>
      <xdr:row>40</xdr:row>
      <xdr:rowOff>359471</xdr:rowOff>
    </xdr:to>
    <xdr:grpSp>
      <xdr:nvGrpSpPr>
        <xdr:cNvPr id="623" name="グループ化 622"/>
        <xdr:cNvGrpSpPr/>
      </xdr:nvGrpSpPr>
      <xdr:grpSpPr>
        <a:xfrm>
          <a:off x="5294641" y="14758173"/>
          <a:ext cx="910359" cy="325361"/>
          <a:chOff x="4393848" y="5142618"/>
          <a:chExt cx="908771" cy="325361"/>
        </a:xfrm>
      </xdr:grpSpPr>
      <xdr:sp macro="" textlink="">
        <xdr:nvSpPr>
          <xdr:cNvPr id="624" name="フローチャート: 手操作入力 623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5" name="テキスト ボックス 624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626" name="正方形/長方形 625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504263</xdr:colOff>
      <xdr:row>41</xdr:row>
      <xdr:rowOff>35638</xdr:rowOff>
    </xdr:from>
    <xdr:to>
      <xdr:col>10</xdr:col>
      <xdr:colOff>60901</xdr:colOff>
      <xdr:row>41</xdr:row>
      <xdr:rowOff>336177</xdr:rowOff>
    </xdr:to>
    <xdr:sp macro="" textlink="">
      <xdr:nvSpPr>
        <xdr:cNvPr id="627" name="角丸四角形 626"/>
        <xdr:cNvSpPr/>
      </xdr:nvSpPr>
      <xdr:spPr>
        <a:xfrm>
          <a:off x="7160557" y="14121432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41</xdr:row>
      <xdr:rowOff>35592</xdr:rowOff>
    </xdr:from>
    <xdr:to>
      <xdr:col>9</xdr:col>
      <xdr:colOff>63776</xdr:colOff>
      <xdr:row>41</xdr:row>
      <xdr:rowOff>333863</xdr:rowOff>
    </xdr:to>
    <xdr:sp macro="" textlink="">
      <xdr:nvSpPr>
        <xdr:cNvPr id="628" name="角丸四角形 627"/>
        <xdr:cNvSpPr/>
      </xdr:nvSpPr>
      <xdr:spPr>
        <a:xfrm>
          <a:off x="5822576" y="14121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41</xdr:row>
      <xdr:rowOff>67156</xdr:rowOff>
    </xdr:from>
    <xdr:to>
      <xdr:col>9</xdr:col>
      <xdr:colOff>501112</xdr:colOff>
      <xdr:row>41</xdr:row>
      <xdr:rowOff>368750</xdr:rowOff>
    </xdr:to>
    <xdr:sp macro="" textlink="">
      <xdr:nvSpPr>
        <xdr:cNvPr id="629" name="図形 628"/>
        <xdr:cNvSpPr/>
      </xdr:nvSpPr>
      <xdr:spPr>
        <a:xfrm rot="1547545">
          <a:off x="6731938" y="14152950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40</xdr:row>
      <xdr:rowOff>46843</xdr:rowOff>
    </xdr:from>
    <xdr:to>
      <xdr:col>10</xdr:col>
      <xdr:colOff>60901</xdr:colOff>
      <xdr:row>40</xdr:row>
      <xdr:rowOff>347382</xdr:rowOff>
    </xdr:to>
    <xdr:sp macro="" textlink="">
      <xdr:nvSpPr>
        <xdr:cNvPr id="630" name="角丸四角形 629"/>
        <xdr:cNvSpPr/>
      </xdr:nvSpPr>
      <xdr:spPr>
        <a:xfrm>
          <a:off x="7160557" y="13751637"/>
          <a:ext cx="901344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40</xdr:row>
      <xdr:rowOff>78361</xdr:rowOff>
    </xdr:from>
    <xdr:to>
      <xdr:col>9</xdr:col>
      <xdr:colOff>501112</xdr:colOff>
      <xdr:row>40</xdr:row>
      <xdr:rowOff>379955</xdr:rowOff>
    </xdr:to>
    <xdr:sp macro="" textlink="">
      <xdr:nvSpPr>
        <xdr:cNvPr id="631" name="図形 630"/>
        <xdr:cNvSpPr/>
      </xdr:nvSpPr>
      <xdr:spPr>
        <a:xfrm rot="1547545">
          <a:off x="6731938" y="13783155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342900</xdr:colOff>
      <xdr:row>40</xdr:row>
      <xdr:rowOff>35592</xdr:rowOff>
    </xdr:from>
    <xdr:to>
      <xdr:col>9</xdr:col>
      <xdr:colOff>63776</xdr:colOff>
      <xdr:row>40</xdr:row>
      <xdr:rowOff>333863</xdr:rowOff>
    </xdr:to>
    <xdr:sp macro="" textlink="">
      <xdr:nvSpPr>
        <xdr:cNvPr id="636" name="角丸四角形 635"/>
        <xdr:cNvSpPr/>
      </xdr:nvSpPr>
      <xdr:spPr>
        <a:xfrm>
          <a:off x="5822576" y="13740386"/>
          <a:ext cx="897494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1011642</xdr:colOff>
      <xdr:row>41</xdr:row>
      <xdr:rowOff>22518</xdr:rowOff>
    </xdr:from>
    <xdr:to>
      <xdr:col>8</xdr:col>
      <xdr:colOff>336176</xdr:colOff>
      <xdr:row>41</xdr:row>
      <xdr:rowOff>337471</xdr:rowOff>
    </xdr:to>
    <xdr:grpSp>
      <xdr:nvGrpSpPr>
        <xdr:cNvPr id="637" name="グループ化 636"/>
        <xdr:cNvGrpSpPr/>
      </xdr:nvGrpSpPr>
      <xdr:grpSpPr>
        <a:xfrm>
          <a:off x="5297892" y="15127581"/>
          <a:ext cx="1459722" cy="314953"/>
          <a:chOff x="3826072" y="3675389"/>
          <a:chExt cx="1248371" cy="287578"/>
        </a:xfrm>
      </xdr:grpSpPr>
      <xdr:grpSp>
        <xdr:nvGrpSpPr>
          <xdr:cNvPr id="638" name="グループ化 637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643" name="フローチャート: 手操作入力 642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44" name="正方形/長方形 643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639" name="グループ化 638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641" name="フローチャート: 手操作入力 640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42" name="正方形/長方形 641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40" name="テキスト ボックス 639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4</xdr:col>
      <xdr:colOff>695739</xdr:colOff>
      <xdr:row>40</xdr:row>
      <xdr:rowOff>10769</xdr:rowOff>
    </xdr:from>
    <xdr:to>
      <xdr:col>12</xdr:col>
      <xdr:colOff>485775</xdr:colOff>
      <xdr:row>40</xdr:row>
      <xdr:rowOff>10769</xdr:rowOff>
    </xdr:to>
    <xdr:cxnSp macro="">
      <xdr:nvCxnSpPr>
        <xdr:cNvPr id="645" name="直線コネクタ 644"/>
        <xdr:cNvCxnSpPr/>
      </xdr:nvCxnSpPr>
      <xdr:spPr>
        <a:xfrm>
          <a:off x="1917180" y="14477563"/>
          <a:ext cx="8541830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810724</xdr:colOff>
      <xdr:row>42</xdr:row>
      <xdr:rowOff>62003</xdr:rowOff>
    </xdr:from>
    <xdr:ext cx="1175844" cy="564931"/>
    <xdr:sp macro="" textlink="">
      <xdr:nvSpPr>
        <xdr:cNvPr id="646" name="フローチャート: 書類 645"/>
        <xdr:cNvSpPr/>
      </xdr:nvSpPr>
      <xdr:spPr>
        <a:xfrm rot="10800000" flipH="1">
          <a:off x="2022997" y="14522685"/>
          <a:ext cx="1175844" cy="564931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4</xdr:col>
      <xdr:colOff>802843</xdr:colOff>
      <xdr:row>42</xdr:row>
      <xdr:rowOff>139100</xdr:rowOff>
    </xdr:from>
    <xdr:ext cx="1511732" cy="345603"/>
    <xdr:sp macro="" textlink="">
      <xdr:nvSpPr>
        <xdr:cNvPr id="647" name="テキスト ボックス 646"/>
        <xdr:cNvSpPr txBox="1"/>
      </xdr:nvSpPr>
      <xdr:spPr>
        <a:xfrm>
          <a:off x="2031568" y="15369575"/>
          <a:ext cx="1511732" cy="3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en-US" altLang="ja-JP" sz="24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12,000</a:t>
          </a:r>
          <a:r>
            <a:rPr kumimoji="1" lang="ja-JP" altLang="en-US" sz="900" b="0">
              <a:ln w="3175">
                <a:noFill/>
              </a:ln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endParaRPr kumimoji="1" lang="ja-JP" altLang="en-US" sz="1400" b="0">
            <a:ln w="3175">
              <a:noFill/>
            </a:ln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6</xdr:col>
      <xdr:colOff>149622</xdr:colOff>
      <xdr:row>42</xdr:row>
      <xdr:rowOff>89807</xdr:rowOff>
    </xdr:from>
    <xdr:ext cx="612378" cy="540737"/>
    <xdr:sp macro="" textlink="">
      <xdr:nvSpPr>
        <xdr:cNvPr id="648" name="テキスト ボックス 647"/>
        <xdr:cNvSpPr txBox="1"/>
      </xdr:nvSpPr>
      <xdr:spPr>
        <a:xfrm>
          <a:off x="3474713" y="14550489"/>
          <a:ext cx="612378" cy="54073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ctr">
          <a:noAutofit/>
        </a:bodyPr>
        <a:lstStyle/>
        <a:p>
          <a:pPr algn="ctr"/>
          <a:r>
            <a:rPr kumimoji="1" lang="en-US" altLang="ja-JP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kumimoji="1" lang="ja-JP" altLang="en-US" sz="11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ja-JP" altLang="en-US" sz="16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941294</xdr:colOff>
      <xdr:row>43</xdr:row>
      <xdr:rowOff>1990</xdr:rowOff>
    </xdr:from>
    <xdr:to>
      <xdr:col>12</xdr:col>
      <xdr:colOff>400050</xdr:colOff>
      <xdr:row>43</xdr:row>
      <xdr:rowOff>1990</xdr:rowOff>
    </xdr:to>
    <xdr:cxnSp macro="">
      <xdr:nvCxnSpPr>
        <xdr:cNvPr id="649" name="直線コネクタ 648"/>
        <xdr:cNvCxnSpPr/>
      </xdr:nvCxnSpPr>
      <xdr:spPr>
        <a:xfrm>
          <a:off x="4266385" y="14843672"/>
          <a:ext cx="6108938" cy="0"/>
        </a:xfrm>
        <a:prstGeom prst="line">
          <a:avLst/>
        </a:prstGeom>
        <a:ln w="9525">
          <a:solidFill>
            <a:srgbClr val="41719C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1008391</xdr:colOff>
      <xdr:row>42</xdr:row>
      <xdr:rowOff>34110</xdr:rowOff>
    </xdr:from>
    <xdr:to>
      <xdr:col>7</xdr:col>
      <xdr:colOff>831312</xdr:colOff>
      <xdr:row>42</xdr:row>
      <xdr:rowOff>359471</xdr:rowOff>
    </xdr:to>
    <xdr:grpSp>
      <xdr:nvGrpSpPr>
        <xdr:cNvPr id="650" name="グループ化 649"/>
        <xdr:cNvGrpSpPr/>
      </xdr:nvGrpSpPr>
      <xdr:grpSpPr>
        <a:xfrm>
          <a:off x="5294641" y="15520173"/>
          <a:ext cx="910359" cy="325361"/>
          <a:chOff x="4393848" y="5142618"/>
          <a:chExt cx="908771" cy="325361"/>
        </a:xfrm>
      </xdr:grpSpPr>
      <xdr:sp macro="" textlink="">
        <xdr:nvSpPr>
          <xdr:cNvPr id="651" name="フローチャート: 手操作入力 650"/>
          <xdr:cNvSpPr/>
        </xdr:nvSpPr>
        <xdr:spPr>
          <a:xfrm rot="5400000" flipH="1">
            <a:off x="4567400" y="4969066"/>
            <a:ext cx="325361" cy="672465"/>
          </a:xfrm>
          <a:prstGeom prst="flowChartManualInpu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2" name="テキスト ボックス 651"/>
          <xdr:cNvSpPr txBox="1"/>
        </xdr:nvSpPr>
        <xdr:spPr>
          <a:xfrm>
            <a:off x="4431333" y="5160730"/>
            <a:ext cx="871286" cy="221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のみ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653" name="正方形/長方形 652"/>
          <xdr:cNvSpPr/>
        </xdr:nvSpPr>
        <xdr:spPr>
          <a:xfrm>
            <a:off x="4408714" y="5393111"/>
            <a:ext cx="528370" cy="6836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>
            <a:softEdge rad="127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504263</xdr:colOff>
      <xdr:row>43</xdr:row>
      <xdr:rowOff>35638</xdr:rowOff>
    </xdr:from>
    <xdr:to>
      <xdr:col>10</xdr:col>
      <xdr:colOff>60901</xdr:colOff>
      <xdr:row>43</xdr:row>
      <xdr:rowOff>336177</xdr:rowOff>
    </xdr:to>
    <xdr:sp macro="" textlink="">
      <xdr:nvSpPr>
        <xdr:cNvPr id="654" name="角丸四角形 653"/>
        <xdr:cNvSpPr/>
      </xdr:nvSpPr>
      <xdr:spPr>
        <a:xfrm>
          <a:off x="7154445" y="14877320"/>
          <a:ext cx="907456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43</xdr:row>
      <xdr:rowOff>35592</xdr:rowOff>
    </xdr:from>
    <xdr:to>
      <xdr:col>9</xdr:col>
      <xdr:colOff>63776</xdr:colOff>
      <xdr:row>43</xdr:row>
      <xdr:rowOff>333863</xdr:rowOff>
    </xdr:to>
    <xdr:sp macro="" textlink="">
      <xdr:nvSpPr>
        <xdr:cNvPr id="655" name="角丸四角形 654"/>
        <xdr:cNvSpPr/>
      </xdr:nvSpPr>
      <xdr:spPr>
        <a:xfrm>
          <a:off x="5815445" y="14877274"/>
          <a:ext cx="898513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43</xdr:row>
      <xdr:rowOff>67156</xdr:rowOff>
    </xdr:from>
    <xdr:to>
      <xdr:col>9</xdr:col>
      <xdr:colOff>501112</xdr:colOff>
      <xdr:row>43</xdr:row>
      <xdr:rowOff>368750</xdr:rowOff>
    </xdr:to>
    <xdr:sp macro="" textlink="">
      <xdr:nvSpPr>
        <xdr:cNvPr id="656" name="図形 655"/>
        <xdr:cNvSpPr/>
      </xdr:nvSpPr>
      <xdr:spPr>
        <a:xfrm rot="1547545">
          <a:off x="6725826" y="14908838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9</xdr:col>
      <xdr:colOff>504263</xdr:colOff>
      <xdr:row>42</xdr:row>
      <xdr:rowOff>46843</xdr:rowOff>
    </xdr:from>
    <xdr:to>
      <xdr:col>10</xdr:col>
      <xdr:colOff>60901</xdr:colOff>
      <xdr:row>42</xdr:row>
      <xdr:rowOff>347382</xdr:rowOff>
    </xdr:to>
    <xdr:sp macro="" textlink="">
      <xdr:nvSpPr>
        <xdr:cNvPr id="657" name="角丸四角形 656"/>
        <xdr:cNvSpPr/>
      </xdr:nvSpPr>
      <xdr:spPr>
        <a:xfrm>
          <a:off x="7154445" y="14507525"/>
          <a:ext cx="907456" cy="30053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75644</xdr:colOff>
      <xdr:row>42</xdr:row>
      <xdr:rowOff>78361</xdr:rowOff>
    </xdr:from>
    <xdr:to>
      <xdr:col>9</xdr:col>
      <xdr:colOff>501112</xdr:colOff>
      <xdr:row>42</xdr:row>
      <xdr:rowOff>379955</xdr:rowOff>
    </xdr:to>
    <xdr:sp macro="" textlink="">
      <xdr:nvSpPr>
        <xdr:cNvPr id="658" name="図形 657"/>
        <xdr:cNvSpPr/>
      </xdr:nvSpPr>
      <xdr:spPr>
        <a:xfrm rot="1547545">
          <a:off x="6725826" y="14539043"/>
          <a:ext cx="425468" cy="301594"/>
        </a:xfrm>
        <a:prstGeom prst="swooshArrow">
          <a:avLst>
            <a:gd name="adj1" fmla="val 23731"/>
            <a:gd name="adj2" fmla="val 31370"/>
          </a:avLst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8</xdr:col>
      <xdr:colOff>342900</xdr:colOff>
      <xdr:row>42</xdr:row>
      <xdr:rowOff>35592</xdr:rowOff>
    </xdr:from>
    <xdr:to>
      <xdr:col>9</xdr:col>
      <xdr:colOff>63776</xdr:colOff>
      <xdr:row>42</xdr:row>
      <xdr:rowOff>333863</xdr:rowOff>
    </xdr:to>
    <xdr:sp macro="" textlink="">
      <xdr:nvSpPr>
        <xdr:cNvPr id="663" name="角丸四角形 662"/>
        <xdr:cNvSpPr/>
      </xdr:nvSpPr>
      <xdr:spPr>
        <a:xfrm>
          <a:off x="6071507" y="15261985"/>
          <a:ext cx="904698" cy="298271"/>
        </a:xfrm>
        <a:prstGeom prst="round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1011642</xdr:colOff>
      <xdr:row>43</xdr:row>
      <xdr:rowOff>22518</xdr:rowOff>
    </xdr:from>
    <xdr:to>
      <xdr:col>8</xdr:col>
      <xdr:colOff>336176</xdr:colOff>
      <xdr:row>43</xdr:row>
      <xdr:rowOff>337471</xdr:rowOff>
    </xdr:to>
    <xdr:grpSp>
      <xdr:nvGrpSpPr>
        <xdr:cNvPr id="664" name="グループ化 663"/>
        <xdr:cNvGrpSpPr/>
      </xdr:nvGrpSpPr>
      <xdr:grpSpPr>
        <a:xfrm>
          <a:off x="5297892" y="15889581"/>
          <a:ext cx="1459722" cy="314953"/>
          <a:chOff x="3826072" y="3675389"/>
          <a:chExt cx="1248371" cy="287578"/>
        </a:xfrm>
      </xdr:grpSpPr>
      <xdr:grpSp>
        <xdr:nvGrpSpPr>
          <xdr:cNvPr id="665" name="グループ化 664"/>
          <xdr:cNvGrpSpPr/>
        </xdr:nvGrpSpPr>
        <xdr:grpSpPr>
          <a:xfrm>
            <a:off x="3826072" y="3675389"/>
            <a:ext cx="632557" cy="287578"/>
            <a:chOff x="3262475" y="25252744"/>
            <a:chExt cx="523219" cy="203639"/>
          </a:xfrm>
        </xdr:grpSpPr>
        <xdr:sp macro="" textlink="">
          <xdr:nvSpPr>
            <xdr:cNvPr id="670" name="フローチャート: 手操作入力 669"/>
            <xdr:cNvSpPr/>
          </xdr:nvSpPr>
          <xdr:spPr>
            <a:xfrm rot="5400000" flipH="1">
              <a:off x="3422265" y="25092954"/>
              <a:ext cx="203639" cy="523219"/>
            </a:xfrm>
            <a:prstGeom prst="flowChartManualInpu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71" name="正方形/長方形 670"/>
            <xdr:cNvSpPr/>
          </xdr:nvSpPr>
          <xdr:spPr>
            <a:xfrm>
              <a:off x="3283033" y="25420518"/>
              <a:ext cx="402111" cy="35021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666" name="グループ化 665"/>
          <xdr:cNvGrpSpPr/>
        </xdr:nvGrpSpPr>
        <xdr:grpSpPr>
          <a:xfrm>
            <a:off x="4343674" y="3679379"/>
            <a:ext cx="663755" cy="283579"/>
            <a:chOff x="4646454" y="3064303"/>
            <a:chExt cx="593254" cy="207632"/>
          </a:xfrm>
        </xdr:grpSpPr>
        <xdr:sp macro="" textlink="">
          <xdr:nvSpPr>
            <xdr:cNvPr id="668" name="フローチャート: 手操作入力 667"/>
            <xdr:cNvSpPr/>
          </xdr:nvSpPr>
          <xdr:spPr>
            <a:xfrm rot="5400000" flipV="1">
              <a:off x="4838926" y="2871831"/>
              <a:ext cx="207632" cy="592575"/>
            </a:xfrm>
            <a:prstGeom prst="flowChartManualInput">
              <a:avLst/>
            </a:prstGeom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69" name="正方形/長方形 668"/>
            <xdr:cNvSpPr/>
          </xdr:nvSpPr>
          <xdr:spPr>
            <a:xfrm>
              <a:off x="4692526" y="3226978"/>
              <a:ext cx="547182" cy="39756"/>
            </a:xfrm>
            <a:prstGeom prst="rect">
              <a:avLst/>
            </a:prstGeom>
            <a:solidFill>
              <a:srgbClr val="89C064"/>
            </a:solidFill>
            <a:ln>
              <a:noFill/>
            </a:ln>
            <a:effectLst>
              <a:softEdge rad="127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67" name="テキスト ボックス 666"/>
          <xdr:cNvSpPr txBox="1"/>
        </xdr:nvSpPr>
        <xdr:spPr>
          <a:xfrm>
            <a:off x="3917605" y="3711936"/>
            <a:ext cx="1156838" cy="13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horz" wrap="square" lIns="0" tIns="0" rIns="0" bIns="0" numCol="1" rtlCol="0" anchor="t">
            <a:noAutofit/>
          </a:bodyPr>
          <a:lstStyle/>
          <a:p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上水道</a:t>
            </a:r>
            <a:r>
              <a:rPr kumimoji="1" lang="ja-JP" altLang="en-US" sz="1000" b="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と   </a:t>
            </a:r>
            <a:r>
              <a:rPr kumimoji="1" lang="ja-JP" altLang="en-US" sz="10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下水道</a:t>
            </a:r>
            <a:r>
              <a:rPr kumimoji="1" lang="ja-JP" altLang="en-US" sz="700" b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を使用</a:t>
            </a:r>
            <a:endParaRPr kumimoji="1" lang="ja-JP" altLang="en-US" sz="100" b="0">
              <a:ln w="3175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4</xdr:col>
      <xdr:colOff>695739</xdr:colOff>
      <xdr:row>42</xdr:row>
      <xdr:rowOff>10769</xdr:rowOff>
    </xdr:from>
    <xdr:to>
      <xdr:col>12</xdr:col>
      <xdr:colOff>485775</xdr:colOff>
      <xdr:row>42</xdr:row>
      <xdr:rowOff>10769</xdr:rowOff>
    </xdr:to>
    <xdr:cxnSp macro="">
      <xdr:nvCxnSpPr>
        <xdr:cNvPr id="672" name="直線コネクタ 671"/>
        <xdr:cNvCxnSpPr/>
      </xdr:nvCxnSpPr>
      <xdr:spPr>
        <a:xfrm>
          <a:off x="1908012" y="14471451"/>
          <a:ext cx="8553036" cy="0"/>
        </a:xfrm>
        <a:prstGeom prst="line">
          <a:avLst/>
        </a:prstGeom>
        <a:ln w="19050">
          <a:solidFill>
            <a:srgbClr val="41719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58929</xdr:colOff>
      <xdr:row>37</xdr:row>
      <xdr:rowOff>285750</xdr:rowOff>
    </xdr:from>
    <xdr:to>
      <xdr:col>3</xdr:col>
      <xdr:colOff>569943</xdr:colOff>
      <xdr:row>41</xdr:row>
      <xdr:rowOff>90055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579" y="13839825"/>
          <a:ext cx="1006314" cy="1328305"/>
        </a:xfrm>
        <a:prstGeom prst="rect">
          <a:avLst/>
        </a:prstGeom>
      </xdr:spPr>
    </xdr:pic>
    <xdr:clientData/>
  </xdr:twoCellAnchor>
  <xdr:twoCellAnchor editAs="oneCell">
    <xdr:from>
      <xdr:col>2</xdr:col>
      <xdr:colOff>65301</xdr:colOff>
      <xdr:row>31</xdr:row>
      <xdr:rowOff>59743</xdr:rowOff>
    </xdr:from>
    <xdr:to>
      <xdr:col>3</xdr:col>
      <xdr:colOff>667566</xdr:colOff>
      <xdr:row>33</xdr:row>
      <xdr:rowOff>173180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56" y="11316561"/>
          <a:ext cx="1104492" cy="875437"/>
        </a:xfrm>
        <a:prstGeom prst="rect">
          <a:avLst/>
        </a:prstGeom>
      </xdr:spPr>
    </xdr:pic>
    <xdr:clientData/>
  </xdr:twoCellAnchor>
  <xdr:twoCellAnchor editAs="oneCell">
    <xdr:from>
      <xdr:col>1</xdr:col>
      <xdr:colOff>198592</xdr:colOff>
      <xdr:row>34</xdr:row>
      <xdr:rowOff>114300</xdr:rowOff>
    </xdr:from>
    <xdr:to>
      <xdr:col>3</xdr:col>
      <xdr:colOff>680752</xdr:colOff>
      <xdr:row>37</xdr:row>
      <xdr:rowOff>128153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92" y="12525375"/>
          <a:ext cx="1225110" cy="1156853"/>
        </a:xfrm>
        <a:prstGeom prst="rect">
          <a:avLst/>
        </a:prstGeom>
      </xdr:spPr>
    </xdr:pic>
    <xdr:clientData/>
  </xdr:twoCellAnchor>
  <xdr:twoCellAnchor editAs="oneCell">
    <xdr:from>
      <xdr:col>1</xdr:col>
      <xdr:colOff>179186</xdr:colOff>
      <xdr:row>40</xdr:row>
      <xdr:rowOff>345679</xdr:rowOff>
    </xdr:from>
    <xdr:to>
      <xdr:col>4</xdr:col>
      <xdr:colOff>28575</xdr:colOff>
      <xdr:row>45</xdr:row>
      <xdr:rowOff>12123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186" y="15042754"/>
          <a:ext cx="1344814" cy="1257119"/>
        </a:xfrm>
        <a:prstGeom prst="rect">
          <a:avLst/>
        </a:prstGeom>
      </xdr:spPr>
    </xdr:pic>
    <xdr:clientData/>
  </xdr:twoCellAnchor>
  <xdr:oneCellAnchor>
    <xdr:from>
      <xdr:col>3</xdr:col>
      <xdr:colOff>694234</xdr:colOff>
      <xdr:row>39</xdr:row>
      <xdr:rowOff>108392</xdr:rowOff>
    </xdr:from>
    <xdr:ext cx="718045" cy="211022"/>
    <xdr:sp macro="" textlink="">
      <xdr:nvSpPr>
        <xdr:cNvPr id="673" name="テキスト ボックス 672"/>
        <xdr:cNvSpPr txBox="1"/>
      </xdr:nvSpPr>
      <xdr:spPr>
        <a:xfrm>
          <a:off x="1438916" y="14413210"/>
          <a:ext cx="718045" cy="211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square" lIns="0" tIns="0" rIns="0" bIns="0" numCol="1" rtlCol="0" anchor="t">
          <a:noAutofit/>
        </a:bodyPr>
        <a:lstStyle/>
        <a:p>
          <a:r>
            <a:rPr kumimoji="1" lang="ja-JP" altLang="en-US" sz="1600" b="1">
              <a:ln w="3175">
                <a:noFill/>
              </a:ln>
              <a:latin typeface="メイリオ" panose="020B0604030504040204" pitchFamily="50" charset="-128"/>
              <a:ea typeface="メイリオ" panose="020B0604030504040204" pitchFamily="50" charset="-128"/>
            </a:rPr>
            <a:t>業務用</a:t>
          </a:r>
          <a:endParaRPr kumimoji="1" lang="ja-JP" altLang="en-US" sz="1400" b="1">
            <a:ln w="3175">
              <a:noFill/>
            </a:ln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490905</xdr:colOff>
      <xdr:row>18</xdr:row>
      <xdr:rowOff>75086</xdr:rowOff>
    </xdr:from>
    <xdr:to>
      <xdr:col>4</xdr:col>
      <xdr:colOff>102577</xdr:colOff>
      <xdr:row>21</xdr:row>
      <xdr:rowOff>290948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20" y="6405548"/>
          <a:ext cx="864576" cy="1358862"/>
        </a:xfrm>
        <a:prstGeom prst="rect">
          <a:avLst/>
        </a:prstGeom>
      </xdr:spPr>
    </xdr:pic>
    <xdr:clientData/>
  </xdr:twoCellAnchor>
  <xdr:twoCellAnchor>
    <xdr:from>
      <xdr:col>0</xdr:col>
      <xdr:colOff>103909</xdr:colOff>
      <xdr:row>73</xdr:row>
      <xdr:rowOff>103909</xdr:rowOff>
    </xdr:from>
    <xdr:to>
      <xdr:col>1</xdr:col>
      <xdr:colOff>51598</xdr:colOff>
      <xdr:row>80</xdr:row>
      <xdr:rowOff>139971</xdr:rowOff>
    </xdr:to>
    <xdr:sp macro="" textlink="">
      <xdr:nvSpPr>
        <xdr:cNvPr id="508" name="角丸四角形 507"/>
        <xdr:cNvSpPr/>
      </xdr:nvSpPr>
      <xdr:spPr>
        <a:xfrm>
          <a:off x="103909" y="17439409"/>
          <a:ext cx="640416" cy="2581835"/>
        </a:xfrm>
        <a:prstGeom prst="roundRect">
          <a:avLst/>
        </a:prstGeom>
        <a:solidFill>
          <a:schemeClr val="tx2"/>
        </a:solidFill>
        <a:ln w="444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水道料金</a:t>
          </a:r>
        </a:p>
      </xdr:txBody>
    </xdr:sp>
    <xdr:clientData/>
  </xdr:twoCellAnchor>
  <xdr:twoCellAnchor>
    <xdr:from>
      <xdr:col>0</xdr:col>
      <xdr:colOff>121227</xdr:colOff>
      <xdr:row>85</xdr:row>
      <xdr:rowOff>0</xdr:rowOff>
    </xdr:from>
    <xdr:to>
      <xdr:col>1</xdr:col>
      <xdr:colOff>68916</xdr:colOff>
      <xdr:row>93</xdr:row>
      <xdr:rowOff>212664</xdr:rowOff>
    </xdr:to>
    <xdr:sp macro="" textlink="">
      <xdr:nvSpPr>
        <xdr:cNvPr id="509" name="角丸四角形 508"/>
        <xdr:cNvSpPr/>
      </xdr:nvSpPr>
      <xdr:spPr>
        <a:xfrm>
          <a:off x="121227" y="20937682"/>
          <a:ext cx="640416" cy="3122118"/>
        </a:xfrm>
        <a:prstGeom prst="roundRect">
          <a:avLst/>
        </a:prstGeom>
        <a:solidFill>
          <a:schemeClr val="accent6"/>
        </a:solidFill>
        <a:ln w="444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下水道使用料</a:t>
          </a:r>
        </a:p>
      </xdr:txBody>
    </xdr:sp>
    <xdr:clientData/>
  </xdr:twoCellAnchor>
  <xdr:twoCellAnchor>
    <xdr:from>
      <xdr:col>0</xdr:col>
      <xdr:colOff>103909</xdr:colOff>
      <xdr:row>48</xdr:row>
      <xdr:rowOff>103909</xdr:rowOff>
    </xdr:from>
    <xdr:to>
      <xdr:col>1</xdr:col>
      <xdr:colOff>51598</xdr:colOff>
      <xdr:row>55</xdr:row>
      <xdr:rowOff>139971</xdr:rowOff>
    </xdr:to>
    <xdr:sp macro="" textlink="">
      <xdr:nvSpPr>
        <xdr:cNvPr id="516" name="角丸四角形 515"/>
        <xdr:cNvSpPr/>
      </xdr:nvSpPr>
      <xdr:spPr>
        <a:xfrm>
          <a:off x="103909" y="28165387"/>
          <a:ext cx="635146" cy="2587106"/>
        </a:xfrm>
        <a:prstGeom prst="roundRect">
          <a:avLst/>
        </a:prstGeom>
        <a:solidFill>
          <a:schemeClr val="tx2"/>
        </a:solidFill>
        <a:ln w="444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水道料金</a:t>
          </a:r>
        </a:p>
      </xdr:txBody>
    </xdr:sp>
    <xdr:clientData/>
  </xdr:twoCellAnchor>
  <xdr:twoCellAnchor>
    <xdr:from>
      <xdr:col>0</xdr:col>
      <xdr:colOff>121227</xdr:colOff>
      <xdr:row>60</xdr:row>
      <xdr:rowOff>0</xdr:rowOff>
    </xdr:from>
    <xdr:to>
      <xdr:col>1</xdr:col>
      <xdr:colOff>68916</xdr:colOff>
      <xdr:row>68</xdr:row>
      <xdr:rowOff>212664</xdr:rowOff>
    </xdr:to>
    <xdr:sp macro="" textlink="">
      <xdr:nvSpPr>
        <xdr:cNvPr id="517" name="角丸四角形 516"/>
        <xdr:cNvSpPr/>
      </xdr:nvSpPr>
      <xdr:spPr>
        <a:xfrm>
          <a:off x="121227" y="31780370"/>
          <a:ext cx="635146" cy="3128142"/>
        </a:xfrm>
        <a:prstGeom prst="roundRect">
          <a:avLst/>
        </a:prstGeom>
        <a:solidFill>
          <a:schemeClr val="accent6"/>
        </a:solidFill>
        <a:ln w="444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下水道使用料</a:t>
          </a:r>
        </a:p>
      </xdr:txBody>
    </xdr:sp>
    <xdr:clientData/>
  </xdr:twoCellAnchor>
  <xdr:twoCellAnchor>
    <xdr:from>
      <xdr:col>5</xdr:col>
      <xdr:colOff>23812</xdr:colOff>
      <xdr:row>9</xdr:row>
      <xdr:rowOff>26276</xdr:rowOff>
    </xdr:from>
    <xdr:to>
      <xdr:col>5</xdr:col>
      <xdr:colOff>1137047</xdr:colOff>
      <xdr:row>9</xdr:row>
      <xdr:rowOff>476250</xdr:rowOff>
    </xdr:to>
    <xdr:sp macro="" textlink="">
      <xdr:nvSpPr>
        <xdr:cNvPr id="518" name="正方形/長方形 517"/>
        <xdr:cNvSpPr/>
      </xdr:nvSpPr>
      <xdr:spPr>
        <a:xfrm>
          <a:off x="3155156" y="2603979"/>
          <a:ext cx="1113235" cy="449974"/>
        </a:xfrm>
        <a:prstGeom prst="rect">
          <a:avLst/>
        </a:prstGeom>
        <a:noFill/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7"/>
  <sheetViews>
    <sheetView showZeros="0" tabSelected="1" topLeftCell="D2" zoomScale="120" zoomScaleNormal="120" zoomScaleSheetLayoutView="55" workbookViewId="0">
      <selection activeCell="J8" sqref="J8"/>
    </sheetView>
  </sheetViews>
  <sheetFormatPr defaultRowHeight="18.75" x14ac:dyDescent="0.4"/>
  <cols>
    <col min="1" max="1" width="9" style="1"/>
    <col min="2" max="2" width="3.25" style="1" customWidth="1"/>
    <col min="3" max="3" width="6.5" style="1" customWidth="1"/>
    <col min="4" max="4" width="9.875" style="1" bestFit="1" customWidth="1"/>
    <col min="5" max="5" width="12.5" style="1" bestFit="1" customWidth="1"/>
    <col min="6" max="6" width="15.25" style="1" bestFit="1" customWidth="1"/>
    <col min="7" max="7" width="14.25" style="1" bestFit="1" customWidth="1"/>
    <col min="8" max="8" width="13.75" style="1" customWidth="1"/>
    <col min="9" max="9" width="15.5" style="1" customWidth="1"/>
    <col min="10" max="10" width="18.125" style="1" customWidth="1"/>
    <col min="11" max="11" width="15.5" style="1" customWidth="1"/>
    <col min="12" max="12" width="13" style="1" customWidth="1"/>
    <col min="13" max="13" width="14.25" style="1" bestFit="1" customWidth="1"/>
    <col min="14" max="14" width="0.875" style="1" customWidth="1"/>
    <col min="15" max="15" width="12.625" style="31" bestFit="1" customWidth="1"/>
    <col min="16" max="17" width="9" style="31"/>
    <col min="18" max="18" width="10.875" style="113" bestFit="1" customWidth="1"/>
    <col min="19" max="24" width="9" style="113"/>
    <col min="25" max="174" width="9" style="1"/>
    <col min="175" max="175" width="16.375" style="1" bestFit="1" customWidth="1"/>
    <col min="176" max="176" width="9.25" style="1" bestFit="1" customWidth="1"/>
    <col min="177" max="177" width="16.375" style="1" bestFit="1" customWidth="1"/>
    <col min="178" max="178" width="9" style="1"/>
    <col min="179" max="179" width="11.25" style="1" bestFit="1" customWidth="1"/>
    <col min="180" max="253" width="9" style="1"/>
    <col min="254" max="255" width="10.875" style="1" bestFit="1" customWidth="1"/>
    <col min="256" max="16384" width="9" style="1"/>
  </cols>
  <sheetData>
    <row r="1" spans="2:16" ht="2.25" customHeight="1" x14ac:dyDescent="0.4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2:16" ht="12" customHeight="1" x14ac:dyDescent="0.4">
      <c r="B2" s="31"/>
      <c r="C2" s="33"/>
      <c r="D2" s="33"/>
      <c r="E2" s="27"/>
      <c r="F2" s="34"/>
      <c r="G2" s="34"/>
      <c r="H2" s="34"/>
      <c r="I2" s="34"/>
      <c r="J2" s="34"/>
      <c r="K2" s="33"/>
      <c r="L2" s="33"/>
      <c r="M2" s="33"/>
      <c r="N2" s="33"/>
    </row>
    <row r="3" spans="2:16" x14ac:dyDescent="0.4">
      <c r="B3" s="31"/>
      <c r="C3" s="33"/>
      <c r="D3" s="33"/>
      <c r="E3" s="27"/>
      <c r="F3" s="34"/>
      <c r="G3" s="34"/>
      <c r="H3" s="2"/>
      <c r="I3" s="34"/>
      <c r="J3" s="34"/>
      <c r="K3" s="33"/>
      <c r="L3" s="33"/>
      <c r="M3" s="33"/>
      <c r="N3" s="33"/>
    </row>
    <row r="4" spans="2:16" x14ac:dyDescent="0.4">
      <c r="B4" s="31"/>
      <c r="C4" s="33"/>
      <c r="D4" s="33"/>
      <c r="E4" s="27"/>
      <c r="F4" s="34"/>
      <c r="G4" s="34"/>
      <c r="H4" s="34"/>
      <c r="I4" s="34"/>
      <c r="J4" s="34"/>
      <c r="K4" s="33"/>
      <c r="L4" s="33"/>
      <c r="M4" s="33"/>
      <c r="N4" s="33"/>
    </row>
    <row r="5" spans="2:16" ht="2.25" customHeight="1" x14ac:dyDescent="0.4">
      <c r="B5" s="31"/>
      <c r="C5" s="33"/>
      <c r="D5" s="33"/>
      <c r="E5" s="27"/>
      <c r="F5" s="34"/>
      <c r="G5" s="34"/>
      <c r="H5" s="34"/>
      <c r="I5" s="34"/>
      <c r="J5" s="34"/>
      <c r="K5" s="33"/>
      <c r="L5" s="33"/>
      <c r="M5" s="33"/>
      <c r="N5" s="33"/>
    </row>
    <row r="6" spans="2:16" ht="29.25" customHeight="1" x14ac:dyDescent="0.15">
      <c r="B6" s="31"/>
      <c r="C6" s="35"/>
      <c r="D6" s="35"/>
      <c r="E6" s="27"/>
      <c r="F6" s="36"/>
      <c r="G6" s="36"/>
      <c r="H6" s="37"/>
      <c r="I6" s="36"/>
      <c r="J6" s="36"/>
      <c r="K6" s="38"/>
      <c r="L6" s="38"/>
      <c r="M6" s="33"/>
      <c r="N6" s="33"/>
    </row>
    <row r="7" spans="2:16" ht="39.75" customHeight="1" x14ac:dyDescent="0.4">
      <c r="B7" s="31"/>
      <c r="C7" s="35"/>
      <c r="D7" s="35"/>
      <c r="E7" s="36"/>
      <c r="F7" s="36"/>
      <c r="G7" s="36"/>
      <c r="H7" s="27"/>
      <c r="I7" s="62" t="s">
        <v>6</v>
      </c>
      <c r="J7" s="63" t="s">
        <v>30</v>
      </c>
      <c r="K7" s="62" t="s">
        <v>7</v>
      </c>
      <c r="L7" s="62" t="s">
        <v>21</v>
      </c>
      <c r="M7" s="39"/>
      <c r="N7" s="33"/>
    </row>
    <row r="8" spans="2:16" ht="39.75" customHeight="1" thickBot="1" x14ac:dyDescent="0.45">
      <c r="B8" s="31"/>
      <c r="C8" s="33"/>
      <c r="D8" s="33"/>
      <c r="E8" s="33"/>
      <c r="F8" s="33"/>
      <c r="G8" s="33"/>
      <c r="H8" s="40"/>
      <c r="I8" s="64">
        <f>(VLOOKUP($F$9,$E$119:$G$126,2,FALSE)+ROUNDDOWN(IF(F10&lt;=20,0,IF(AND(F10&gt;=21,F10&lt;=40),F10-20,20))*J121,0)+ROUNDDOWN(IF(F10&lt;=40,0,IF(AND(F10&gt;=41,F10&lt;=60),F10-40,20))*J122,0)+ROUNDDOWN(IF(F10&lt;=60,0,IF(AND(F10&gt;=61,F10&lt;=100),F10-60,40))*J123,0)+ROUNDDOWN(IF(F10&lt;=100,0,IF(AND(F10&gt;=101,F10&lt;=200),F10-100,100))*J124,0)+ROUNDDOWN(IF(F10&lt;=200,0,F10-200)*J125,0))+(ROUNDDOWN((VLOOKUP($F$9,$E$119:$G$126,2,FALSE)+ROUNDDOWN(IF(F10&lt;=20,0,IF(AND(F10&gt;=21,F10&lt;=40),F10-20,20))*J121,0)+ROUNDDOWN(IF(F10&lt;=40,0,IF(AND(F10&gt;=41,F10&lt;=60),F10-40,20))*J122,0)+ROUNDDOWN(IF(F10&lt;=60,0,IF(AND(F10&gt;=61,F10&lt;=100),F10-60,40))*J123,0)+ROUNDDOWN(IF(F10&lt;=100,0,IF(AND(F10&gt;=101,F10&lt;=200),F10-100,100))*J124,0)+ROUNDDOWN(IF(F10&lt;=200,0,F10-200)*J125,0))*$J$11,0))</f>
        <v>1636</v>
      </c>
      <c r="J8" s="65">
        <f>(VLOOKUP($F$9,$E$119:$G$126,3,FALSE)+ROUNDDOWN(IF(F10&lt;K119,0,IF(AND(F10&gt;=K119,F10&lt;=L119),F10-(K119-1),(L119-K119+1)))*M119,0)+ROUNDDOWN(IF(F10&lt;K120,0,IF(AND(F10&gt;=K120,F10&lt;=L120),F10-(K120-1),(L120-K120+1)))*M120,0)+ROUNDDOWN(IF(F10&lt;K121,0,IF(AND(F10&gt;=K121,F10&lt;=L121),F10-(K121-1),(L121-K121+1)))*M121,0)+ROUNDDOWN(IF(F10&lt;K122,0,IF(AND(F10&gt;=K122,F10&lt;=L122),F10-(K122-1),(L122-K122+1)))*M122,0)+ROUNDDOWN(IF(F10&lt;K123,0,IF(AND(F10&gt;=K123,F10&lt;=L123),F10-(K123-1),(L123-K123+1)))*M123,0)+ROUNDDOWN(IF(F10&lt;K124,0,IF(AND(F10&gt;=K124,F10&lt;=L124),F10-(K124-1),(L124-K124+1)))*M124,0)+ROUNDDOWN(IF(F10&lt;K125,0,F10-(K125-1))*M125,0))+(ROUNDDOWN((VLOOKUP($F$9,$E$119:$G$126,3,FALSE)+ROUNDDOWN(IF(F10&lt;K119,0,IF(AND(F10&gt;=K119,F10&lt;=L119),F10-(K119-1),(L119-K119+1)))*M119,0)+ROUNDDOWN(IF(F10&lt;K120,0,IF(AND(F10&gt;=K120,F10&lt;=L120),F10-(K120-1),(L120-K120+1)))*M120,0)+ROUNDDOWN(IF(F10&lt;K121,0,IF(AND(F10&gt;=K121,F10&lt;=L121),F10-(K121-1),(L121-K121+1)))*M121,0)+ROUNDDOWN(IF(F10&lt;K122,0,IF(AND(F10&gt;=K122,F10&lt;=L122),F10-(K122-1),(L122-K122+1)))*M122,0)+ROUNDDOWN(IF(F10&lt;K123,0,IF(AND(F10&gt;=K123,F10&lt;=L123),F10-(K123-1),(L123-K123+1)))*M123,0)+ROUNDDOWN(IF(F10&lt;K124,0,IF(AND(F10&gt;=K124,F10&lt;=L124),F10-(K124-1),(L124-K124+1)))*M124,0)+ROUNDDOWN(IF(F10&lt;K125,0,F10-(K125-1))*M125,0))*J11,0))</f>
        <v>1584</v>
      </c>
      <c r="K8" s="107">
        <f>+J8-I8</f>
        <v>-52</v>
      </c>
      <c r="L8" s="108">
        <f>+J8/I8-1</f>
        <v>-3.1784841075794601E-2</v>
      </c>
      <c r="M8" s="33"/>
      <c r="N8" s="33"/>
    </row>
    <row r="9" spans="2:16" ht="39.75" customHeight="1" x14ac:dyDescent="0.4">
      <c r="B9" s="31"/>
      <c r="C9" s="33"/>
      <c r="D9" s="33"/>
      <c r="E9" s="133" t="s">
        <v>3</v>
      </c>
      <c r="F9" s="60">
        <v>20</v>
      </c>
      <c r="G9" s="33"/>
      <c r="H9" s="41"/>
      <c r="I9" s="46">
        <f>(+F131+ROUNDDOWN(IF(F10&lt;=20,0,IF(AND(F10&gt;=21,F10&lt;=40),F10-20,20))*J133,0)+ROUNDDOWN(IF(F10&lt;=40,0,IF(AND(F10&gt;=41,F10&lt;=60),F10-40,20))*J134,0)+ROUNDDOWN(IF(F10&lt;=60,0,IF(AND(F10&gt;=61,F10&lt;=100),F10-60,40))*J135,0)+ROUNDDOWN(IF(F10&lt;=100,0,IF(AND(F10&gt;=101,F10&lt;=200),F10-100,100))*J136,0)+ROUNDDOWN(IF(F10&lt;=200,0,IF(AND(F10&gt;=201,F10&lt;=400),F10-200,200))*J137,0)+ROUNDDOWN(IF(F10&lt;=400,0,IF(AND(F10&gt;=401,F10&lt;=1000),F10-400,600))*J138,0)+ROUNDDOWN(IF(F10&lt;=1000,0,F10-1000)*J139,0))+(ROUNDDOWN((+F131+ROUNDDOWN(IF(F10&lt;=20,0,IF(AND(F10&gt;=21,F10&lt;=40),F10-20,20))*J133,0)+ROUNDDOWN(IF(F10&lt;=40,0,IF(AND(F10&gt;=41,F10&lt;=60),F10-40,20))*J134,0)+ROUNDDOWN(IF(F10&lt;=60,0,IF(AND(F10&gt;=61,F10&lt;=100),F10-60,40))*J135,0)+ROUNDDOWN(IF(F10&lt;=100,0,IF(AND(F10&gt;=101,F10&lt;=200),F10-100,100))*J136,0)+ROUNDDOWN(IF(F10&lt;=200,0,IF(AND(F10&gt;=201,F10&lt;=400),F10-200,200))*J137,0)+ROUNDDOWN(IF(F10&lt;=400,0,IF(AND(F10&gt;=401,F10&lt;=1000),F10-400,600))*J138,0)+ROUNDDOWN(IF(F10&lt;=1000,0,F10-1000)*J139,0))*$J$11,0))</f>
        <v>1540</v>
      </c>
      <c r="J9" s="65">
        <f>(+G131+ROUNDDOWN(IF(F10&lt;K131,0,IF(AND(F10&gt;=K131,F10&lt;=L131),F10-(K131-1),(L131-K131+1)))*M131,0)+ROUNDDOWN(IF(F10&lt;K132,0,IF(AND(F10&gt;=K132,F10&lt;=L132),F10-(K132-1),(L132-K132+1)))*M132,0)+ROUNDDOWN(IF(F10&lt;K133,0,IF(AND(F10&gt;=K133,F10&lt;=L133),F10-(K133-1),(L133-K133+1)))*M133,0)+ROUNDDOWN(IF(F10&lt;K134,0,IF(AND(F10&gt;=K134,F10&lt;=L134),F10-(K134-1),(L134-K134+1)))*M134,0)+ROUNDDOWN(IF(F10&lt;K135,0,IF(AND(F10&gt;=K135,F10&lt;=L135),F10-(K135-1),(L135-K135+1)))*M135,0)+ROUNDDOWN(IF(F10&lt;K136,0,IF(AND(F10&gt;=K136,F10&lt;=L136),F10-(K136-1),(L136-K136+1)))*M136,0)+ROUNDDOWN(IF(F10&lt;K137,0,IF(AND(F10&gt;=K137,F10&lt;=L137),F10-(K137-1),(L137-K137+1)))*M137,0)+ROUNDDOWN(IF(F10&lt;K138,0,IF(AND(F10&gt;=K138,F10&lt;=L138),F10-(K138-1),(L138-K138+1)))*M138,0)+ROUNDDOWN(IF(F10&lt;K139,0,F10-(K139-1))*M139,0))+(ROUNDDOWN((+G131+ROUNDDOWN(IF(F10&lt;K131,0,IF(AND(F10&gt;=K131,F10&lt;=L131),F10-(K131-1),(L131-K131+1)))*M131,0)+ROUNDDOWN(IF(F10&lt;K132,0,IF(AND(F10&gt;=K132,F10&lt;=L132),F10-(K132-1),(L132-K132+1)))*M132,0)+ROUNDDOWN(IF(F10&lt;K133,0,IF(AND(F10&gt;=K133,F10&lt;=L133),F10-(K133-1),(L133-K133+1)))*M133,0)+ROUNDDOWN(IF(F10&lt;K134,0,IF(AND(F10&gt;=K134,F10&lt;=L134),F10-(K134-1),(L134-K134+1)))*M134,0)+ROUNDDOWN(IF(F10&lt;K135,0,IF(AND(F10&gt;=K135,F10&lt;=L135),F10-(K135-1),(L135-K135+1)))*M135,0)+ROUNDDOWN(IF(F10&lt;K136,0,IF(AND(F10&gt;=K136,F10&lt;=L136),F10-(K136-1),(L136-K136+1)))*M136,0)+ROUNDDOWN(IF(F10&lt;K137,0,IF(AND(F10&gt;=K137,F10&lt;=L137),F10-(K137-1),(L137-K137+1)))*M137,0)+ROUNDDOWN(IF(F10&lt;K138,0,IF(AND(F10&gt;=K138,F10&lt;=L138),F10-(K138-1),(L138-K138+1)))*M138,0)+ROUNDDOWN(IF(F10&lt;K139,0,F10-(K139-1))*M139,0))*$J$11,0))</f>
        <v>1584</v>
      </c>
      <c r="K9" s="107">
        <f>+J9-I9</f>
        <v>44</v>
      </c>
      <c r="L9" s="108">
        <f t="shared" ref="L9:L10" si="0">+J9/I9-1</f>
        <v>2.857142857142847E-2</v>
      </c>
      <c r="M9" s="33"/>
      <c r="N9" s="33"/>
    </row>
    <row r="10" spans="2:16" ht="39.75" customHeight="1" thickBot="1" x14ac:dyDescent="0.45">
      <c r="B10" s="31"/>
      <c r="C10" s="33"/>
      <c r="D10" s="33"/>
      <c r="E10" s="134" t="s">
        <v>4</v>
      </c>
      <c r="F10" s="61">
        <v>10</v>
      </c>
      <c r="G10" s="33"/>
      <c r="H10" s="42"/>
      <c r="I10" s="46">
        <f>+I8+I9</f>
        <v>3176</v>
      </c>
      <c r="J10" s="65">
        <f>+J8+J9</f>
        <v>3168</v>
      </c>
      <c r="K10" s="107">
        <f>+J10-I10</f>
        <v>-8</v>
      </c>
      <c r="L10" s="108">
        <f t="shared" si="0"/>
        <v>-2.5188916876573986E-3</v>
      </c>
      <c r="M10" s="33"/>
      <c r="N10" s="33"/>
    </row>
    <row r="11" spans="2:16" ht="18" customHeight="1" x14ac:dyDescent="0.45">
      <c r="B11" s="31"/>
      <c r="C11" s="33"/>
      <c r="D11" s="33"/>
      <c r="E11" s="33"/>
      <c r="F11" s="33"/>
      <c r="G11" s="33"/>
      <c r="H11" s="54"/>
      <c r="I11" s="53"/>
      <c r="J11" s="55">
        <v>0.1</v>
      </c>
      <c r="K11" s="66"/>
      <c r="L11" s="51"/>
      <c r="M11" s="52"/>
      <c r="N11" s="33"/>
    </row>
    <row r="12" spans="2:16" ht="18" customHeight="1" x14ac:dyDescent="0.45">
      <c r="B12" s="31"/>
      <c r="C12" s="33"/>
      <c r="D12" s="33"/>
      <c r="E12" s="33"/>
      <c r="F12" s="33"/>
      <c r="G12" s="33"/>
      <c r="H12" s="54"/>
      <c r="I12" s="53"/>
      <c r="J12" s="55"/>
      <c r="K12" s="66"/>
      <c r="L12" s="51"/>
      <c r="M12" s="52"/>
      <c r="N12" s="33"/>
    </row>
    <row r="13" spans="2:16" ht="24.75" customHeight="1" x14ac:dyDescent="0.4">
      <c r="B13" s="31"/>
      <c r="C13" s="33"/>
      <c r="D13" s="33"/>
      <c r="E13" s="33"/>
      <c r="F13" s="33"/>
      <c r="G13" s="33"/>
      <c r="H13" s="42"/>
      <c r="I13" s="28"/>
      <c r="J13" s="29"/>
      <c r="K13" s="67"/>
      <c r="L13" s="26"/>
      <c r="M13" s="33"/>
      <c r="N13" s="33"/>
    </row>
    <row r="14" spans="2:16" ht="74.25" customHeight="1" x14ac:dyDescent="0.4">
      <c r="B14" s="31"/>
      <c r="C14" s="33"/>
      <c r="D14" s="43"/>
      <c r="E14" s="43"/>
      <c r="F14" s="43"/>
      <c r="G14" s="44"/>
      <c r="H14" s="30"/>
      <c r="I14" s="50"/>
      <c r="J14" s="56"/>
      <c r="K14" s="68"/>
      <c r="L14" s="45"/>
      <c r="M14" s="35"/>
      <c r="N14" s="57"/>
    </row>
    <row r="15" spans="2:16" ht="30" customHeight="1" x14ac:dyDescent="0.4">
      <c r="B15" s="31"/>
      <c r="C15" s="33"/>
      <c r="D15" s="33"/>
      <c r="E15" s="33"/>
      <c r="F15" s="33"/>
      <c r="G15" s="33"/>
      <c r="H15" s="33"/>
      <c r="I15" s="58">
        <f>(VLOOKUP($P$15,$E$119:$G$126,2,FALSE)+ROUNDDOWN(IF(O15&lt;=20,0,IF(AND(O15&gt;=21,O15&lt;=40),O15-20,20))*J121,0)+ROUNDDOWN(IF(O15&lt;=40,0,IF(AND(O15&gt;=41,O15&lt;=60),O15-40,20))*J122,0)+ROUNDDOWN(IF(O15&lt;=60,0,IF(AND(O15&gt;=61,O15&lt;=100),O15-60,40))*J123,0)+ROUNDDOWN(IF(O15&lt;=100,0,IF(AND(O15&gt;=101,O15&lt;=200),O15-100,100))*J124,0)+ROUNDDOWN(IF(O15&lt;=200,0,O15-200)*J125,0))+(ROUNDDOWN((VLOOKUP($P$15,$E$119:$G$126,2,FALSE)+ROUNDDOWN(IF(O15&lt;=20,0,IF(AND(O15&gt;=21,O15&lt;=40),O15-20,20))*J121,0)+ROUNDDOWN(IF(O15&lt;=40,0,IF(AND(O15&gt;=41,O15&lt;=60),O15-40,20))*J122,0)+ROUNDDOWN(IF(O15&lt;=60,0,IF(AND(O15&gt;=61,O15&lt;=100),O15-60,40))*J123,0)+ROUNDDOWN(IF(O15&lt;=100,0,IF(AND(O15&gt;=101,O15&lt;=200),O15-100,100))*J124,0)+ROUNDDOWN(IF(O15&lt;=200,0,O15-200)*J125,0))*$J$11,0))</f>
        <v>1513</v>
      </c>
      <c r="J15" s="59">
        <f>(VLOOKUP(P15,$E$119:$G$126,3,FALSE)+ROUNDDOWN(IF(O15&lt;K119,0,IF(AND(O15&gt;=K119,O15&lt;=L119),O15-(K119-1),(L119-K119+1)))*M119,0)+ROUNDDOWN(IF(O15&lt;K120,0,IF(AND(O15&gt;=K120,O15&lt;=L120),O15-(K120-1),(L120-K120+1)))*M120,0)+ROUNDDOWN(IF(O15&lt;K121,0,IF(AND(O15&gt;=K121,O15&lt;=L121),O15-(K121-1),(L121-K121+1)))*M121,0)+ROUNDDOWN(IF(O15&lt;K122,0,IF(AND(O15&gt;=K122,O15&lt;=L122),O15-(K122-1),(L122-K122+1)))*M122,0)+ROUNDDOWN(IF(O15&lt;K123,0,IF(AND(O15&gt;=K123,O15&lt;=L123),O15-(K123-1),(L123-K123+1)))*M123,0)+ROUNDDOWN(IF(O15&lt;K124,0,IF(AND(O15&gt;=K124,O15&lt;=L124),O15-(K124-1),(L124-K124+1)))*M124,0)+ROUNDDOWN(IF(O15&lt;K125,0,O15-(K125-1))*M125,0))+(ROUNDDOWN((VLOOKUP(P15,$E$119:$G$126,3,FALSE)+ROUNDDOWN(IF(O15&lt;K119,0,IF(AND(O15&gt;=K119,O15&lt;=L119),O15-(K119-1),(L119-K119+1)))*M119,0)+ROUNDDOWN(IF(O15&lt;K120,0,IF(AND(O15&gt;=K120,O15&lt;=L120),O15-(K120-1),(L120-K120+1)))*M120,0)+ROUNDDOWN(IF(O15&lt;K121,0,IF(AND(O15&gt;=K121,O15&lt;=L121),O15-(K121-1),(L121-K121+1)))*M121,0)+ROUNDDOWN(IF(O15&lt;K122,0,IF(AND(O15&gt;=K122,O15&lt;=L122),O15-(K122-1),(L122-K122+1)))*M122,0)+ROUNDDOWN(IF(O15&lt;K123,0,IF(AND(O15&gt;=K123,O15&lt;=L123),O15-(K123-1),(L123-K123+1)))*M123,0)+ROUNDDOWN(IF(O15&lt;K124,0,IF(AND(O15&gt;=K124,O15&lt;=L124),O15-(K124-1),(L124-K124+1)))*M124,0)+ROUNDDOWN(IF(O15&lt;K125,0,O15-(K125-1))*M125,0))*J11,0))</f>
        <v>1298</v>
      </c>
      <c r="K15" s="109">
        <f>+J15-I15</f>
        <v>-215</v>
      </c>
      <c r="L15" s="111">
        <f>+J15/I15-1</f>
        <v>-0.14210178453403832</v>
      </c>
      <c r="M15" s="33"/>
      <c r="N15" s="33"/>
      <c r="O15" s="31">
        <v>8</v>
      </c>
      <c r="P15" s="31">
        <v>13</v>
      </c>
    </row>
    <row r="16" spans="2:16" ht="30" customHeight="1" x14ac:dyDescent="0.4">
      <c r="B16" s="31"/>
      <c r="C16" s="33"/>
      <c r="D16" s="33"/>
      <c r="E16" s="33"/>
      <c r="F16" s="33"/>
      <c r="G16" s="33"/>
      <c r="H16" s="33"/>
      <c r="I16" s="58">
        <f>I15+((+F131+ROUNDDOWN(IF(O16&lt;=20,0,IF(AND(O16&gt;=21,O16&lt;=40),O16-20,20))*J133,0)+ROUNDDOWN(IF(O16&lt;=40,0,IF(AND(O16&gt;=41,O16&lt;=60),O16-40,20))*J134,0)+ROUNDDOWN(IF(O16&lt;=60,0,IF(AND(O16&gt;=61,O16&lt;=100),O16-60,40))*J135,0)+ROUNDDOWN(IF(O16&lt;=100,0,IF(AND(O16&gt;=101,O16&lt;=200),O16-100,100))*J136,0)+ROUNDDOWN(IF(O16&lt;=200,0,IF(AND(O16&gt;=201,O16&lt;=400),O16-200,200))*J137,0)+ROUNDDOWN(IF(O16&lt;=400,0,IF(AND(O16&gt;=401,O16&lt;=1000),O16-400,600))*J138,0)+ROUNDDOWN(IF(O16&lt;=1000,0,O16-1000)*J139,0))+(ROUNDDOWN((+F131+ROUNDDOWN(IF(O16&lt;=20,0,IF(AND(O16&gt;=21,O16&lt;=40),O16-20,20))*J133,0)+ROUNDDOWN(IF(O16&lt;=40,0,IF(AND(O16&gt;=41,O16&lt;=60),O16-40,20))*J134,0)+ROUNDDOWN(IF(O16&lt;=60,0,IF(AND(O16&gt;=61,O16&lt;=100),O16-60,40))*J135,0)+ROUNDDOWN(IF(O16&lt;=100,0,IF(AND(O16&gt;=101,O16&lt;=200),O16-100,100))*J136,0)+ROUNDDOWN(IF(O16&lt;=200,0,IF(AND(O16&gt;=201,O16&lt;=400),O16-200,200))*J137,0)+ROUNDDOWN(IF(O16&lt;=400,0,IF(AND(O16&gt;=401,O16&lt;=1000),O16-400,600))*J138,0)+ROUNDDOWN(IF(O16&lt;=1000,0,O16-1000)*J139,0))*$J$11,0)))</f>
        <v>3053</v>
      </c>
      <c r="J16" s="59">
        <f>J15+(+G131+ROUNDDOWN(IF(O16&lt;K131,0,IF(AND(O16&gt;=K131,O16&lt;=L131),O16-(K131-1),(L131-K131+1)))*M131,0)+ROUNDDOWN(IF(O16&lt;K132,0,IF(AND(O16&gt;=K132,O16&lt;=L132),O16-(K132-1),(L132-K132+1)))*M132,0)+ROUNDDOWN(IF(O16&lt;K133,0,IF(AND(O16&gt;=K133,O16&lt;=L133),O16-(K133-1),(L133-K133+1)))*M133,0)+ROUNDDOWN(IF(O16&lt;K134,0,IF(AND(O16&gt;=K134,O16&lt;=L134),O16-(K134-1),(L134-K134+1)))*M134,0)+ROUNDDOWN(IF(O16&lt;K135,0,IF(AND(O16&gt;=K135,O16&lt;=L135),O16-(K135-1),(L135-K135+1)))*M135,0)+ROUNDDOWN(IF(O16&lt;K136,0,IF(AND(O16&gt;=K136,O16&lt;=L136),O16-(K136-1),(L136-K136+1)))*M136,0)+ROUNDDOWN(IF(O16&lt;K137,0,IF(AND(O16&gt;=K137,O16&lt;=L137),O16-(K137-1),(L137-K137+1)))*M137,0)+ROUNDDOWN(IF(O16&lt;K138,0,IF(AND(O16&gt;=K138,O16&lt;=L138),O16-(K138-1),(L138-K138+1)))*M138,0)+ROUNDDOWN(IF(O16&lt;K139,0,O16-(K139-1))*M139,0))+(ROUNDDOWN((+G131+ROUNDDOWN(IF(O16&lt;K131,0,IF(AND(O16&gt;=K131,O16&lt;=L131),O16-(K131-1),(L131-K131+1)))*M131,0)+ROUNDDOWN(IF(O16&lt;K132,0,IF(AND(O16&gt;=K132,O16&lt;=L132),O16-(K132-1),(L132-K132+1)))*M132,0)+ROUNDDOWN(IF(O16&lt;K133,0,IF(AND(O16&gt;=K133,O16&lt;=L133),O16-(K133-1),(L133-K133+1)))*M133,0)+ROUNDDOWN(IF(O16&lt;K134,0,IF(AND(O16&gt;=K134,O16&lt;=L134),O16-(K134-1),(L134-K134+1)))*M134,0)+ROUNDDOWN(IF(O16&lt;K135,0,IF(AND(O16&gt;=K135,O16&lt;=L135),O16-(K135-1),(L135-K135+1)))*M135,0)+ROUNDDOWN(IF(O16&lt;K136,0,IF(AND(O16&gt;=K136,O16&lt;=L136),O16-(K136-1),(L136-K136+1)))*M136,0)+ROUNDDOWN(IF(O16&lt;K137,0,IF(AND(O16&gt;=K137,O16&lt;=L137),O16-(K137-1),(L137-K137+1)))*M137,0)+ROUNDDOWN(IF(O16&lt;K138,0,IF(AND(O16&gt;=K138,O16&lt;=L138),O16-(K138-1),(L138-K138+1)))*M138,0)+ROUNDDOWN(IF(O16&lt;K139,0,O16-(K139-1))*M139,0))*$J$11,0))</f>
        <v>2772</v>
      </c>
      <c r="K16" s="109">
        <f t="shared" ref="K16:K26" si="1">+J16-I16</f>
        <v>-281</v>
      </c>
      <c r="L16" s="111">
        <f t="shared" ref="L16:L26" si="2">+J16/I16-1</f>
        <v>-9.2040615787749802E-2</v>
      </c>
      <c r="M16" s="33"/>
      <c r="N16" s="33"/>
      <c r="O16" s="31">
        <v>8</v>
      </c>
      <c r="P16" s="31">
        <v>13</v>
      </c>
    </row>
    <row r="17" spans="2:16" ht="30" customHeight="1" x14ac:dyDescent="0.4">
      <c r="B17" s="31"/>
      <c r="C17" s="33"/>
      <c r="D17" s="33"/>
      <c r="E17" s="33"/>
      <c r="F17" s="33"/>
      <c r="G17" s="33"/>
      <c r="H17" s="33"/>
      <c r="I17" s="58">
        <f>(VLOOKUP($P$17,$E$119:$G$126,2,FALSE)+ROUNDDOWN(IF(O17&lt;=20,0,IF(AND(O17&gt;=21,O17&lt;=40),O17-20,20))*J121,0)+ROUNDDOWN(IF(O17&lt;=40,0,IF(AND(O17&gt;=41,O17&lt;=60),O17-40,20))*J122,0)+ROUNDDOWN(IF(O17&lt;=60,0,IF(AND(O17&gt;=61,O17&lt;=100),O17-60,40))*J123,0)+ROUNDDOWN(IF(O17&lt;=100,0,IF(AND(O17&gt;=101,O17&lt;=200),O17-100,100))*J124,0)+ROUNDDOWN(IF(O17&lt;=200,0,O17-200)*J125,0))+(ROUNDDOWN((VLOOKUP($P$17,$E$119:$G$126,2,FALSE)+ROUNDDOWN(IF(O17&lt;=20,0,IF(AND(O17&gt;=21,O17&lt;=40),O17-20,20))*J121,0)+ROUNDDOWN(IF(O17&lt;=40,0,IF(AND(O17&gt;=41,O17&lt;=60),O17-40,20))*J122,0)+ROUNDDOWN(IF(O17&lt;=60,0,IF(AND(O17&gt;=61,O17&lt;=100),O17-60,40))*J123,0)+ROUNDDOWN(IF(O17&lt;=100,0,IF(AND(O17&gt;=101,O17&lt;=200),O17-100,100))*J124,0)+ROUNDDOWN(IF(O17&lt;=200,0,O17-200)*J125,0))*$J$11,0))</f>
        <v>1636</v>
      </c>
      <c r="J17" s="59">
        <f>(VLOOKUP(P17,$E$119:$G$126,3,FALSE)+ROUNDDOWN(IF(O17&lt;K119,0,IF(AND(O17&gt;=K119,O17&lt;=L119),O17-(K119-1),(L119-K119+1)))*M119,0)+ROUNDDOWN(IF(O17&lt;K120,0,IF(AND(O17&gt;=K120,O17&lt;=L120),O17-(K120-1),(L120-K120+1)))*M120,0)+ROUNDDOWN(IF(O17&lt;K121,0,IF(AND(O17&gt;=K121,O17&lt;=L121),O17-(K121-1),(L121-K121+1)))*M121,0)+ROUNDDOWN(IF(O17&lt;K122,0,IF(AND(O17&gt;=K122,O17&lt;=L122),O17-(K122-1),(L122-K122+1)))*M122,0)+ROUNDDOWN(IF(O17&lt;K123,0,IF(AND(O17&gt;=K123,O17&lt;=L123),O17-(K123-1),(L123-K123+1)))*M123,0)+ROUNDDOWN(IF(O17&lt;K124,0,IF(AND(O17&gt;=K124,O17&lt;=L124),O17-(K124-1),(L124-K124+1)))*M124,0)+ROUNDDOWN(IF(O17&lt;K125,0,O17-(K125-1))*M125,0))+(ROUNDDOWN((VLOOKUP(P17,$E$119:$G$126,3,FALSE)+ROUNDDOWN(IF(O17&lt;K119,0,IF(AND(O17&gt;=K119,O17&lt;=L119),O17-(K119-1),(L119-K119+1)))*M119,0)+ROUNDDOWN(IF(O17&lt;K120,0,IF(AND(O17&gt;=K120,O17&lt;=L120),O17-(K120-1),(L120-K120+1)))*M120,0)+ROUNDDOWN(IF(O17&lt;K121,0,IF(AND(O17&gt;=K121,O17&lt;=L121),O17-(K121-1),(L121-K121+1)))*M121,0)+ROUNDDOWN(IF(O17&lt;K122,0,IF(AND(O17&gt;=K122,O17&lt;=L122),O17-(K122-1),(L122-K122+1)))*M122,0)+ROUNDDOWN(IF(O17&lt;K123,0,IF(AND(O17&gt;=K123,O17&lt;=L123),O17-(K123-1),(L123-K123+1)))*M123,0)+ROUNDDOWN(IF(O17&lt;K124,0,IF(AND(O17&gt;=K124,O17&lt;=L124),O17-(K124-1),(L124-K124+1)))*M124,0)+ROUNDDOWN(IF(O17&lt;K125,0,O17-(K125-1))*M125,0))*J11,0))</f>
        <v>1430</v>
      </c>
      <c r="K17" s="109">
        <f t="shared" si="1"/>
        <v>-206</v>
      </c>
      <c r="L17" s="111">
        <f t="shared" si="2"/>
        <v>-0.12591687041564792</v>
      </c>
      <c r="M17" s="33"/>
      <c r="N17" s="33"/>
      <c r="O17" s="31">
        <v>8</v>
      </c>
      <c r="P17" s="31">
        <v>20</v>
      </c>
    </row>
    <row r="18" spans="2:16" ht="30" customHeight="1" x14ac:dyDescent="0.4">
      <c r="B18" s="31"/>
      <c r="C18" s="33"/>
      <c r="D18" s="33"/>
      <c r="E18" s="33"/>
      <c r="F18" s="33"/>
      <c r="G18" s="33"/>
      <c r="H18" s="33"/>
      <c r="I18" s="58">
        <f>(VLOOKUP($P$18,$E$119:$G$126,2,FALSE)+ROUNDDOWN(IF(O18&lt;=20,0,IF(AND(O18&gt;=21,O18&lt;=40),O18-20,20))*J121,0)+ROUNDDOWN(IF(O18&lt;=40,0,IF(AND(O18&gt;=41,O18&lt;=60),O18-40,20))*J122,0)+ROUNDDOWN(IF(O18&lt;=60,0,IF(AND(O18&gt;=61,O18&lt;=100),O18-60,40))*J123,0)+ROUNDDOWN(IF(O18&lt;=100,0,IF(AND(O18&gt;=101,O18&lt;=200),O18-100,100))*J124,0)+ROUNDDOWN(IF(O18&lt;=200,0,O18-200)*J125,0))+(ROUNDDOWN((VLOOKUP($P$18,$E$119:$G$126,2,FALSE)+ROUNDDOWN(IF(O18&lt;=20,0,IF(AND(O18&gt;=21,O18&lt;=40),O18-20,20))*J121,0)+ROUNDDOWN(IF(O18&lt;=40,0,IF(AND(O18&gt;=41,O18&lt;=60),O18-40,20))*J122,0)+ROUNDDOWN(IF(O18&lt;=60,0,IF(AND(O18&gt;=61,O18&lt;=100),O18-60,40))*J123,0)+ROUNDDOWN(IF(O18&lt;=100,0,IF(AND(O18&gt;=101,O18&lt;=200),O18-100,100))*J124,0)+ROUNDDOWN(IF(O18&lt;=200,0,O18-200)*J125,0))*$J$11,0))+(+F131+ROUNDDOWN(IF(O18&lt;=20,0,IF(AND(O18&gt;=21,O18&lt;=40),O18-20,20))*J133,0)+ROUNDDOWN(IF(O18&lt;=40,0,IF(AND(O18&gt;=41,O18&lt;=60),O18-40,20))*J134,0)+ROUNDDOWN(IF(O18&lt;=60,0,IF(AND(O18&gt;=61,O18&lt;=100),O18-60,40))*J135,0)+ROUNDDOWN(IF(O18&lt;=100,0,IF(AND(O18&gt;=101,O18&lt;=200),O18-100,100))*J136,0)+ROUNDDOWN(IF(O18&lt;=200,0,IF(AND(O18&gt;=201,O18&lt;=400),O18-200,200))*J137,0)+ROUNDDOWN(IF(O18&lt;=400,0,IF(AND(O18&gt;=401,O18&lt;=1000),O18-400,600))*J138,0)+ROUNDDOWN(IF(O18&lt;=1000,0,O18-1000)*J139,0))+(ROUNDDOWN((+F131+ROUNDDOWN(IF(O18&lt;=20,0,IF(AND(O18&gt;=21,O18&lt;=40),O18-20,20))*J133,0)+ROUNDDOWN(IF(O18&lt;=40,0,IF(AND(O18&gt;=41,O18&lt;=60),O18-40,20))*J134,0)+ROUNDDOWN(IF(O18&lt;=60,0,IF(AND(O18&gt;=61,O18&lt;=100),O18-60,40))*J135,0)+ROUNDDOWN(IF(O18&lt;=100,0,IF(AND(O18&gt;=101,O18&lt;=200),O18-100,100))*J136,0)+ROUNDDOWN(IF(O18&lt;=200,0,IF(AND(O18&gt;=201,O18&lt;=400),O18-200,200))*J137,0)+ROUNDDOWN(IF(O18&lt;=400,0,IF(AND(O18&gt;=401,O18&lt;=1000),O18-400,600))*J138,0)+ROUNDDOWN(IF(O18&lt;=1000,0,O18-1000)*J139,0))*$J$11,0))</f>
        <v>3176</v>
      </c>
      <c r="J18" s="59">
        <f>(VLOOKUP(P18,$E$119:$G$126,3,FALSE)+ROUNDDOWN(IF(O18&lt;K119,0,IF(AND(O18&gt;=K119,O18&lt;=L119),O18-(K119-1),(L119-K119+1)))*M119,0)+ROUNDDOWN(IF(O18&lt;K120,0,IF(AND(O18&gt;=K120,O18&lt;=L120),O18-(K120-1),(L120-K120+1)))*M120,0)+ROUNDDOWN(IF(O18&lt;K121,0,IF(AND(O18&gt;=K121,O18&lt;=L121),O18-(K121-1),(L121-K121+1)))*M121,0)+ROUNDDOWN(IF(O18&lt;K122,0,IF(AND(O18&gt;=K122,O18&lt;=L122),O18-(K122-1),(L122-K122+1)))*M122,0)+ROUNDDOWN(IF(O18&lt;K123,0,IF(AND(O18&gt;=K123,O18&lt;=L123),O18-(K123-1),(L123-K123+1)))*M123,0)+ROUNDDOWN(IF(O18&lt;K124,0,IF(AND(O18&gt;=K124,O18&lt;=L124),O18-(K124-1),(L124-K124+1)))*M124,0)+ROUNDDOWN(IF(O18&lt;K125,0,O18-(K125-1))*M125,0))+(ROUNDDOWN((VLOOKUP(P18,$E$119:$G$126,3,FALSE)+ROUNDDOWN(IF(O18&lt;K119,0,IF(AND(O18&gt;=K119,O18&lt;=L119),O18-(K119-1),(L119-K119+1)))*M119,0)+ROUNDDOWN(IF(O18&lt;K120,0,IF(AND(O18&gt;=K120,O18&lt;=L120),O18-(K120-1),(L120-K120+1)))*M120,0)+ROUNDDOWN(IF(O18&lt;K121,0,IF(AND(O18&gt;=K121,O18&lt;=L121),O18-(K121-1),(L121-K121+1)))*M121,0)+ROUNDDOWN(IF(O18&lt;K122,0,IF(AND(O18&gt;=K122,O18&lt;=L122),O18-(K122-1),(L122-K122+1)))*M122,0)+ROUNDDOWN(IF(O18&lt;K123,0,IF(AND(O18&gt;=K123,O18&lt;=L123),O18-(K123-1),(L123-K123+1)))*M123,0)+ROUNDDOWN(IF(O18&lt;K124,0,IF(AND(O18&gt;=K124,O18&lt;=L124),O18-(K124-1),(L124-K124+1)))*M124,0)+ROUNDDOWN(IF(O18&lt;K125,0,O18-(K125-1))*M125,0))*J11,0))+(+G131+ROUNDDOWN(IF(O18&lt;K131,0,IF(AND(O18&gt;=K131,O18&lt;=L131),O18-(K131-1),(L131-K131+1)))*M131,0)+ROUNDDOWN(IF(O18&lt;K132,0,IF(AND(O18&gt;=K132,O18&lt;=L132),O18-(K132-1),(L132-K132+1)))*M132,0)+ROUNDDOWN(IF(O18&lt;K133,0,IF(AND(O18&gt;=K133,O18&lt;=L133),O18-(K133-1),(L133-K133+1)))*M133,0)+ROUNDDOWN(IF(O18&lt;K134,0,IF(AND(O18&gt;=K134,O18&lt;=L134),O18-(K134-1),(L134-K134+1)))*M134,0)+ROUNDDOWN(IF(O18&lt;K135,0,IF(AND(O18&gt;=K135,O18&lt;=L135),O18-(K135-1),(L135-K135+1)))*M135,0)+ROUNDDOWN(IF(O18&lt;K136,0,IF(AND(O18&gt;=K136,O18&lt;=L136),O18-(K136-1),(L136-K136+1)))*M136,0)+ROUNDDOWN(IF(O18&lt;K137,0,IF(AND(O18&gt;=K137,O18&lt;=L137),O18-(K137-1),(L137-K137+1)))*M137,0)+ROUNDDOWN(IF(O18&lt;K138,0,IF(AND(O18&gt;=K138,O18&lt;=L138),O18-(K138-1),(L138-K138+1)))*M138,0)+ROUNDDOWN(IF(O18&lt;K139,0,O18-(K139-1))*M139,0))+(ROUNDDOWN((+G131+ROUNDDOWN(IF(O18&lt;K131,0,IF(AND(O18&gt;=K131,O18&lt;=L131),O18-(K131-1),(L131-K131+1)))*M131,0)+ROUNDDOWN(IF(O18&lt;K132,0,IF(AND(O18&gt;=K132,O18&lt;=L132),O18-(K132-1),(L132-K132+1)))*M132,0)+ROUNDDOWN(IF(O18&lt;K133,0,IF(AND(O18&gt;=K133,O18&lt;=L133),O18-(K133-1),(L133-K133+1)))*M133,0)+ROUNDDOWN(IF(O18&lt;K134,0,IF(AND(O18&gt;=K134,O18&lt;=L134),O18-(K134-1),(L134-K134+1)))*M134,0)+ROUNDDOWN(IF(O18&lt;K135,0,IF(AND(O18&gt;=K135,O18&lt;=L135),O18-(K135-1),(L135-K135+1)))*M135,0)+ROUNDDOWN(IF(O18&lt;K136,0,IF(AND(O18&gt;=K136,O18&lt;=L136),O18-(K136-1),(L136-K136+1)))*M136,0)+ROUNDDOWN(IF(O18&lt;K137,0,IF(AND(O18&gt;=K137,O18&lt;=L137),O18-(K137-1),(L137-K137+1)))*M137,0)+ROUNDDOWN(IF(O18&lt;K138,0,IF(AND(O18&gt;=K138,O18&lt;=L138),O18-(K138-1),(L138-K138+1)))*M138,0)+ROUNDDOWN(IF(O18&lt;K139,0,O18-(K139-1))*M139,0))*$J$11,0))</f>
        <v>2904</v>
      </c>
      <c r="K18" s="109">
        <f t="shared" si="1"/>
        <v>-272</v>
      </c>
      <c r="L18" s="111">
        <f t="shared" si="2"/>
        <v>-8.5642317380352662E-2</v>
      </c>
      <c r="M18" s="33"/>
      <c r="N18" s="33"/>
      <c r="O18" s="31">
        <v>8</v>
      </c>
      <c r="P18" s="31">
        <v>20</v>
      </c>
    </row>
    <row r="19" spans="2:16" ht="30" customHeight="1" x14ac:dyDescent="0.4">
      <c r="B19" s="31"/>
      <c r="C19" s="33"/>
      <c r="D19" s="33"/>
      <c r="E19" s="33"/>
      <c r="F19" s="33"/>
      <c r="G19" s="33"/>
      <c r="H19" s="35"/>
      <c r="I19" s="58">
        <f>(VLOOKUP($P$19,$E$119:$G$126,2,FALSE)+ROUNDDOWN(IF(O19&lt;=20,0,IF(AND(O19&gt;=21,O19&lt;=40),O19-20,20))*J121,0)+ROUNDDOWN(IF(O19&lt;=40,0,IF(AND(O19&gt;=41,O19&lt;=60),O19-40,20))*J122,0)+ROUNDDOWN(IF(O19&lt;=60,0,IF(AND(O19&gt;=61,O19&lt;=100),O19-60,40))*J123,0)+ROUNDDOWN(IF(O19&lt;=100,0,IF(AND(O19&gt;=101,O19&lt;=200),O19-100,100))*J124,0)+ROUNDDOWN(IF(O19&lt;=200,0,O19-200)*J125,0))+(ROUNDDOWN((VLOOKUP($P$19,$E$119:$G$126,2,FALSE)+ROUNDDOWN(IF(O19&lt;=20,0,IF(AND(O19&gt;=21,O19&lt;=40),O19-20,20))*J121,0)+ROUNDDOWN(IF(O19&lt;=40,0,IF(AND(O19&gt;=41,O19&lt;=60),O19-40,20))*J122,0)+ROUNDDOWN(IF(O19&lt;=60,0,IF(AND(O19&gt;=61,O19&lt;=100),O19-60,40))*J123,0)+ROUNDDOWN(IF(O19&lt;=100,0,IF(AND(O19&gt;=101,O19&lt;=200),O19-100,100))*J124,0)+ROUNDDOWN(IF(O19&lt;=200,0,O19-200)*J125,0))*$J$11,0))</f>
        <v>2723</v>
      </c>
      <c r="J19" s="59">
        <f>(VLOOKUP(P19,$E$119:$G$126,3,FALSE)+ROUNDDOWN(IF(O19&lt;K119,0,IF(AND(O19&gt;=K119,O19&lt;=L119),O19-(K119-1),(L119-K119+1)))*M119,0)+ROUNDDOWN(IF(O19&lt;K120,0,IF(AND(O19&gt;=K120,O19&lt;=L120),O19-(K120-1),(L120-K120+1)))*M120,0)+ROUNDDOWN(IF(O19&lt;K121,0,IF(AND(O19&gt;=K121,O19&lt;=L121),O19-(K121-1),(L121-K121+1)))*M121,0)+ROUNDDOWN(IF(O19&lt;K122,0,IF(AND(O19&gt;=K122,O19&lt;=L122),O19-(K122-1),(L122-K122+1)))*M122,0)+ROUNDDOWN(IF(O19&lt;K123,0,IF(AND(O19&gt;=K123,O19&lt;=L123),O19-(K123-1),(L123-K123+1)))*M123,0)+ROUNDDOWN(IF(O19&lt;K124,0,IF(AND(O19&gt;=K124,O19&lt;=L124),O19-(K124-1),(L124-K124+1)))*M124,0)+ROUNDDOWN(IF(O19&lt;K125,0,O19-(K125-1))*M125,0))+(ROUNDDOWN((VLOOKUP(P19,$E$119:$G$126,3,FALSE)+ROUNDDOWN(IF(O19&lt;K119,0,IF(AND(O19&gt;=K119,O19&lt;=L119),O19-(K119-1),(L119-K119+1)))*M119,0)+ROUNDDOWN(IF(O19&lt;K120,0,IF(AND(O19&gt;=K120,O19&lt;=L120),O19-(K120-1),(L120-K120+1)))*M120,0)+ROUNDDOWN(IF(O19&lt;K121,0,IF(AND(O19&gt;=K121,O19&lt;=L121),O19-(K121-1),(L121-K121+1)))*M121,0)+ROUNDDOWN(IF(O19&lt;K122,0,IF(AND(O19&gt;=K122,O19&lt;=L122),O19-(K122-1),(L122-K122+1)))*M122,0)+ROUNDDOWN(IF(O19&lt;K123,0,IF(AND(O19&gt;=K123,O19&lt;=L123),O19-(K123-1),(L123-K123+1)))*M123,0)+ROUNDDOWN(IF(O19&lt;K124,0,IF(AND(O19&gt;=K124,O19&lt;=L124),O19-(K124-1),(L124-K124+1)))*M124,0)+ROUNDDOWN(IF(O19&lt;K125,0,O19-(K125-1))*M125,0))*J11,0))</f>
        <v>3762</v>
      </c>
      <c r="K19" s="109">
        <f t="shared" si="1"/>
        <v>1039</v>
      </c>
      <c r="L19" s="111">
        <f t="shared" si="2"/>
        <v>0.38156445097319125</v>
      </c>
      <c r="M19" s="35"/>
      <c r="N19" s="35"/>
      <c r="O19" s="31">
        <v>30</v>
      </c>
      <c r="P19" s="31">
        <v>13</v>
      </c>
    </row>
    <row r="20" spans="2:16" ht="30" customHeight="1" x14ac:dyDescent="0.4">
      <c r="B20" s="31"/>
      <c r="C20" s="33"/>
      <c r="D20" s="33"/>
      <c r="E20" s="33"/>
      <c r="F20" s="33"/>
      <c r="G20" s="33"/>
      <c r="H20" s="35"/>
      <c r="I20" s="58">
        <f>I19+(+F131+ROUNDDOWN(IF(O20&lt;=20,0,IF(AND(O20&gt;=21,O20&lt;=40),O20-20,20))*J133,0)+ROUNDDOWN(IF(O20&lt;=40,0,IF(AND(O20&gt;=41,O20&lt;=60),O20-40,20))*J134,0)+ROUNDDOWN(IF(O20&lt;=60,0,IF(AND(O20&gt;=61,O20&lt;=100),O20-60,40))*J135,0)+ROUNDDOWN(IF(O20&lt;=100,0,IF(AND(O20&gt;=101,O20&lt;=200),O20-100,100))*J136,0)+ROUNDDOWN(IF(O20&lt;=200,0,IF(AND(O20&gt;=201,O20&lt;=400),O20-200,200))*J137,0)+ROUNDDOWN(IF(O20&lt;=400,0,IF(AND(O20&gt;=401,O20&lt;=1000),O20-400,600))*J138,0)+ROUNDDOWN(IF(O20&lt;=1000,0,O20-1000)*J139,0))+(ROUNDDOWN((+F131+ROUNDDOWN(IF(O20&lt;=20,0,IF(AND(O20&gt;=21,O20&lt;=40),O20-20,20))*J133,0)+ROUNDDOWN(IF(O20&lt;=40,0,IF(AND(O20&gt;=41,O20&lt;=60),O20-40,20))*J134,0)+ROUNDDOWN(IF(O20&lt;=60,0,IF(AND(O20&gt;=61,O20&lt;=100),O20-60,40))*J135,0)+ROUNDDOWN(IF(O20&lt;=100,0,IF(AND(O20&gt;=101,O20&lt;=200),O20-100,100))*J136,0)+ROUNDDOWN(IF(O20&lt;=200,0,IF(AND(O20&gt;=201,O20&lt;=400),O20-200,200))*J137,0)+ROUNDDOWN(IF(O20&lt;=400,0,IF(AND(O20&gt;=401,O20&lt;=1000),O20-400,600))*J138,0)+ROUNDDOWN(IF(O20&lt;=1000,0,O20-1000)*J139,0))*$J$11,0))</f>
        <v>5033</v>
      </c>
      <c r="J20" s="59">
        <f>J19+(+G131+ROUNDDOWN(IF(O20&lt;K131,0,IF(AND(O20&gt;=K131,O20&lt;=L131),O20-(K131-1),(L131-K131+1)))*M131,0)+ROUNDDOWN(IF(O20&lt;K132,0,IF(AND(O20&gt;=K132,O20&lt;=L132),O20-(K132-1),(L132-K132+1)))*M132,0)+ROUNDDOWN(IF(O20&lt;K133,0,IF(AND(O20&gt;=K133,O20&lt;=L133),O20-(K133-1),(L133-K133+1)))*M133,0)+ROUNDDOWN(IF(O20&lt;K134,0,IF(AND(O20&gt;=K134,O20&lt;=L134),O20-(K134-1),(L134-K134+1)))*M134,0)+ROUNDDOWN(IF(O20&lt;K135,0,IF(AND(O20&gt;=K135,O20&lt;=L135),O20-(K135-1),(L135-K135+1)))*M135,0)+ROUNDDOWN(IF(O20&lt;K136,0,IF(AND(O20&gt;=K136,O20&lt;=L136),O20-(K136-1),(L136-K136+1)))*M136,0)+ROUNDDOWN(IF(O20&lt;K137,0,IF(AND(O20&gt;=K137,O20&lt;=L137),O20-(K137-1),(L137-K137+1)))*M137,0)+ROUNDDOWN(IF(O20&lt;K138,0,IF(AND(O20&gt;=K138,O20&lt;=L138),O20-(K138-1),(L138-K138+1)))*M138,0)+ROUNDDOWN(IF(O20&lt;K139,0,O20-(K139-1))*M139,0))+(ROUNDDOWN((+G131+ROUNDDOWN(IF(O20&lt;K131,0,IF(AND(O20&gt;=K131,O20&lt;=L131),O20-(K131-1),(L131-K131+1)))*M131,0)+ROUNDDOWN(IF(O20&lt;K132,0,IF(AND(O20&gt;=K132,O20&lt;=L132),O20-(K132-1),(L132-K132+1)))*M132,0)+ROUNDDOWN(IF(O20&lt;K133,0,IF(AND(O20&gt;=K133,O20&lt;=L133),O20-(K133-1),(L133-K133+1)))*M133,0)+ROUNDDOWN(IF(O20&lt;K134,0,IF(AND(O20&gt;=K134,O20&lt;=L134),O20-(K134-1),(L134-K134+1)))*M134,0)+ROUNDDOWN(IF(O20&lt;K135,0,IF(AND(O20&gt;=K135,O20&lt;=L135),O20-(K135-1),(L135-K135+1)))*M135,0)+ROUNDDOWN(IF(O20&lt;K136,0,IF(AND(O20&gt;=K136,O20&lt;=L136),O20-(K136-1),(L136-K136+1)))*M136,0)+ROUNDDOWN(IF(O20&lt;K137,0,IF(AND(O20&gt;=K137,O20&lt;=L137),O20-(K137-1),(L137-K137+1)))*M137,0)+ROUNDDOWN(IF(O20&lt;K138,0,IF(AND(O20&gt;=K138,O20&lt;=L138),O20-(K138-1),(L138-K138+1)))*M138,0)+ROUNDDOWN(IF(O20&lt;K139,0,O20-(K139-1))*M139,0))*$J$11,0))</f>
        <v>6886</v>
      </c>
      <c r="K20" s="109">
        <f t="shared" si="1"/>
        <v>1853</v>
      </c>
      <c r="L20" s="111">
        <f t="shared" si="2"/>
        <v>0.36817007748857544</v>
      </c>
      <c r="M20" s="35"/>
      <c r="N20" s="35"/>
      <c r="O20" s="31">
        <v>30</v>
      </c>
      <c r="P20" s="31">
        <v>13</v>
      </c>
    </row>
    <row r="21" spans="2:16" ht="30" customHeight="1" x14ac:dyDescent="0.4">
      <c r="B21" s="31"/>
      <c r="C21" s="33"/>
      <c r="D21" s="33"/>
      <c r="E21" s="33"/>
      <c r="F21" s="33"/>
      <c r="G21" s="33"/>
      <c r="H21" s="35"/>
      <c r="I21" s="58">
        <f>(VLOOKUP($P$21,$E$119:$G$126,2,FALSE)+ROUNDDOWN(IF(O21&lt;=20,0,IF(AND(O21&gt;=21,O21&lt;=40),O21-20,20))*J121,0)+ROUNDDOWN(IF(O21&lt;=40,0,IF(AND(O21&gt;=41,O21&lt;=60),O21-40,20))*J122,0)+ROUNDDOWN(IF(O21&lt;=60,0,IF(AND(O21&gt;=61,O21&lt;=100),O21-60,40))*J123,0)+ROUNDDOWN(IF(O21&lt;=100,0,IF(AND(O21&gt;=101,O21&lt;=200),O21-100,100))*J124,0)+ROUNDDOWN(IF(O21&lt;=200,0,O21-200)*J125,0))+(ROUNDDOWN((VLOOKUP($P$21,$E$119:$G$126,2,FALSE)+ROUNDDOWN(IF(O21&lt;=20,0,IF(AND(O21&gt;=21,O21&lt;=40),O21-20,20))*J121,0)+ROUNDDOWN(IF(O21&lt;=40,0,IF(AND(O21&gt;=41,O21&lt;=60),O21-40,20))*J122,0)+ROUNDDOWN(IF(O21&lt;=60,0,IF(AND(O21&gt;=61,O21&lt;=100),O21-60,40))*J123,0)+ROUNDDOWN(IF(O21&lt;=100,0,IF(AND(O21&gt;=101,O21&lt;=200),O21-100,100))*J124,0)+ROUNDDOWN(IF(O21&lt;=200,0,O21-200)*J125,0))*$J$11,0))</f>
        <v>2846</v>
      </c>
      <c r="J21" s="59">
        <f>(VLOOKUP(P21,$E$119:$G$126,3,FALSE)+ROUNDDOWN(IF(O21&lt;K119,0,IF(AND(O21&gt;=K119,O21&lt;=L119),O21-(K119-1),(L119-K119+1)))*M119,0)+ROUNDDOWN(IF(O21&lt;K120,0,IF(AND(O21&gt;=K120,O21&lt;=L120),O21-(K120-1),(L120-K120+1)))*M120,0)+ROUNDDOWN(IF(O21&lt;K121,0,IF(AND(O21&gt;=K121,O21&lt;=L121),O21-(K121-1),(L121-K121+1)))*M121,0)+ROUNDDOWN(IF(O21&lt;K122,0,IF(AND(O21&gt;=K122,O21&lt;=L122),O21-(K122-1),(L122-K122+1)))*M122,0)+ROUNDDOWN(IF(O21&lt;K123,0,IF(AND(O21&gt;=K123,O21&lt;=L123),O21-(K123-1),(L123-K123+1)))*M123,0)+ROUNDDOWN(IF(O21&lt;K124,0,IF(AND(O21&gt;=K124,O21&lt;=L124),O21-(K124-1),(L124-K124+1)))*M124,0)+ROUNDDOWN(IF(O21&lt;K125,0,O21-(K125-1))*M125,0))+(ROUNDDOWN((VLOOKUP(P21,$E$119:$G$126,3,FALSE)+ROUNDDOWN(IF(O21&lt;K119,0,IF(AND(O21&gt;=K119,O21&lt;=L119),O21-(K119-1),(L119-K119+1)))*M119,0)+ROUNDDOWN(IF(O21&lt;K120,0,IF(AND(O21&gt;=K120,O21&lt;=L120),O21-(K120-1),(L120-K120+1)))*M120,0)+ROUNDDOWN(IF(O21&lt;K121,0,IF(AND(O21&gt;=K121,O21&lt;=L121),O21-(K121-1),(L121-K121+1)))*M121,0)+ROUNDDOWN(IF(O21&lt;K122,0,IF(AND(O21&gt;=K122,O21&lt;=L122),O21-(K122-1),(L122-K122+1)))*M122,0)+ROUNDDOWN(IF(O21&lt;K123,0,IF(AND(O21&gt;=K123,O21&lt;=L123),O21-(K123-1),(L123-K123+1)))*M123,0)+ROUNDDOWN(IF(O21&lt;K124,0,IF(AND(O21&gt;=K124,O21&lt;=L124),O21-(K124-1),(L124-K124+1)))*M124,0)+ROUNDDOWN(IF(O21&lt;K125,0,O21-(K125-1))*M125,0))*J11,0))</f>
        <v>3894</v>
      </c>
      <c r="K21" s="109">
        <f t="shared" si="1"/>
        <v>1048</v>
      </c>
      <c r="L21" s="111">
        <f t="shared" si="2"/>
        <v>0.36823612087139845</v>
      </c>
      <c r="M21" s="35"/>
      <c r="N21" s="35"/>
      <c r="O21" s="31">
        <v>30</v>
      </c>
      <c r="P21" s="31">
        <v>20</v>
      </c>
    </row>
    <row r="22" spans="2:16" ht="30" customHeight="1" x14ac:dyDescent="0.4">
      <c r="B22" s="31"/>
      <c r="C22" s="33"/>
      <c r="D22" s="33"/>
      <c r="E22" s="33"/>
      <c r="F22" s="33"/>
      <c r="G22" s="33"/>
      <c r="H22" s="35"/>
      <c r="I22" s="58">
        <f>+I21+(+F131+ROUNDDOWN(IF(O22&lt;=20,0,IF(AND(O22&gt;=21,O22&lt;=40),O22-20,20))*J133,0)+ROUNDDOWN(IF(O22&lt;=40,0,IF(AND(O22&gt;=41,O22&lt;=60),O22-40,20))*J134,0)+ROUNDDOWN(IF(O22&lt;=60,0,IF(AND(O22&gt;=61,O22&lt;=100),O22-60,40))*J135,0)+ROUNDDOWN(IF(O22&lt;=100,0,IF(AND(O22&gt;=101,O22&lt;=200),O22-100,100))*J136,0)+ROUNDDOWN(IF(O22&lt;=200,0,IF(AND(O22&gt;=201,O22&lt;=400),O22-200,200))*J137,0)+ROUNDDOWN(IF(O22&lt;=400,0,IF(AND(O22&gt;=401,O22&lt;=1000),O22-400,600))*J138,0)+ROUNDDOWN(IF(O22&lt;=1000,0,O22-1000)*J139,0))+(ROUNDDOWN((+F131+ROUNDDOWN(IF(O22&lt;=20,0,IF(AND(O22&gt;=21,O22&lt;=40),O22-20,20))*J133,0)+ROUNDDOWN(IF(O22&lt;=40,0,IF(AND(O22&gt;=41,O22&lt;=60),O22-40,20))*J134,0)+ROUNDDOWN(IF(O22&lt;=60,0,IF(AND(O22&gt;=61,O22&lt;=100),O22-60,40))*J135,0)+ROUNDDOWN(IF(O22&lt;=100,0,IF(AND(O22&gt;=101,O22&lt;=200),O22-100,100))*J136,0)+ROUNDDOWN(IF(O22&lt;=200,0,IF(AND(O22&gt;=201,O22&lt;=400),O22-200,200))*J137,0)+ROUNDDOWN(IF(O22&lt;=400,0,IF(AND(O22&gt;=401,O22&lt;=1000),O22-400,600))*J138,0)+ROUNDDOWN(IF(O22&lt;=1000,0,O22-1000)*J139,0))*$J$11,0))</f>
        <v>5156</v>
      </c>
      <c r="J22" s="59">
        <f>J21+(+G131+ROUNDDOWN(IF(O22&lt;K131,0,IF(AND(O22&gt;=K131,O22&lt;=L131),O22-(K131-1),(L131-K131+1)))*M131,0)+ROUNDDOWN(IF(O22&lt;K132,0,IF(AND(O22&gt;=K132,O22&lt;=L132),O22-(K132-1),(L132-K132+1)))*M132,0)+ROUNDDOWN(IF(O22&lt;K133,0,IF(AND(O22&gt;=K133,O22&lt;=L133),O22-(K133-1),(L133-K133+1)))*M133,0)+ROUNDDOWN(IF(O22&lt;K134,0,IF(AND(O22&gt;=K134,O22&lt;=L134),O22-(K134-1),(L134-K134+1)))*M134,0)+ROUNDDOWN(IF(O22&lt;K135,0,IF(AND(O22&gt;=K135,O22&lt;=L135),O22-(K135-1),(L135-K135+1)))*M135,0)+ROUNDDOWN(IF(O22&lt;K136,0,IF(AND(O22&gt;=K136,O22&lt;=L136),O22-(K136-1),(L136-K136+1)))*M136,0)+ROUNDDOWN(IF(O22&lt;K137,0,IF(AND(O22&gt;=K137,O22&lt;=L137),O22-(K137-1),(L137-K137+1)))*M137,0)+ROUNDDOWN(IF(O22&lt;K138,0,IF(AND(O22&gt;=K138,O22&lt;=L138),O22-(K138-1),(L138-K138+1)))*M138,0)+ROUNDDOWN(IF(O22&lt;K139,0,O22-(K139-1))*M139,0))+(ROUNDDOWN((+G131+ROUNDDOWN(IF(O22&lt;K131,0,IF(AND(O22&gt;=K131,O22&lt;=L131),O22-(K131-1),(L131-K131+1)))*M131,0)+ROUNDDOWN(IF(O22&lt;K132,0,IF(AND(O22&gt;=K132,O22&lt;=L132),O22-(K132-1),(L132-K132+1)))*M132,0)+ROUNDDOWN(IF(O22&lt;K133,0,IF(AND(O22&gt;=K133,O22&lt;=L133),O22-(K133-1),(L133-K133+1)))*M133,0)+ROUNDDOWN(IF(O22&lt;K134,0,IF(AND(O22&gt;=K134,O22&lt;=L134),O22-(K134-1),(L134-K134+1)))*M134,0)+ROUNDDOWN(IF(O22&lt;K135,0,IF(AND(O22&gt;=K135,O22&lt;=L135),O22-(K135-1),(L135-K135+1)))*M135,0)+ROUNDDOWN(IF(O22&lt;K136,0,IF(AND(O22&gt;=K136,O22&lt;=L136),O22-(K136-1),(L136-K136+1)))*M136,0)+ROUNDDOWN(IF(O22&lt;K137,0,IF(AND(O22&gt;=K137,O22&lt;=L137),O22-(K137-1),(L137-K137+1)))*M137,0)+ROUNDDOWN(IF(O22&lt;K138,0,IF(AND(O22&gt;=K138,O22&lt;=L138),O22-(K138-1),(L138-K138+1)))*M138,0)+ROUNDDOWN(IF(O22&lt;K139,0,O22-(K139-1))*M139,0))*$J$11,0))</f>
        <v>7018</v>
      </c>
      <c r="K22" s="109">
        <f t="shared" si="1"/>
        <v>1862</v>
      </c>
      <c r="L22" s="111">
        <f t="shared" si="2"/>
        <v>0.36113266097750185</v>
      </c>
      <c r="M22" s="35"/>
      <c r="N22" s="35"/>
      <c r="O22" s="31">
        <v>30</v>
      </c>
      <c r="P22" s="31">
        <v>20</v>
      </c>
    </row>
    <row r="23" spans="2:16" ht="30" customHeight="1" x14ac:dyDescent="0.4">
      <c r="B23" s="31"/>
      <c r="C23" s="33"/>
      <c r="D23" s="33"/>
      <c r="E23" s="33"/>
      <c r="F23" s="33"/>
      <c r="G23" s="33"/>
      <c r="H23" s="35"/>
      <c r="I23" s="58">
        <f>(VLOOKUP($P$23,$E$119:$G$126,2,FALSE)+ROUNDDOWN(IF(O23&lt;=20,0,IF(AND(O23&gt;=21,O23&lt;=40),O23-20,20))*J121,0)+ROUNDDOWN(IF(O23&lt;=40,0,IF(AND(O23&gt;=41,O23&lt;=60),O23-40,20))*J122,0)+ROUNDDOWN(IF(O23&lt;=60,0,IF(AND(O23&gt;=61,O23&lt;=100),O23-60,40))*J123,0)+ROUNDDOWN(IF(O23&lt;=100,0,IF(AND(O23&gt;=101,O23&lt;=200),O23-100,100))*J124,0)+ROUNDDOWN(IF(O23&lt;=200,0,O23-200)*J125,0))+(ROUNDDOWN((VLOOKUP($P$23,$E$119:$G$126,2,FALSE)+ROUNDDOWN(IF(O23&lt;=20,0,IF(AND(O23&gt;=21,O23&lt;=40),O23-20,20))*J121,0)+ROUNDDOWN(IF(O23&lt;=40,0,IF(AND(O23&gt;=41,O23&lt;=60),O23-40,20))*J122,0)+ROUNDDOWN(IF(O23&lt;=60,0,IF(AND(O23&gt;=61,O23&lt;=100),O23-60,40))*J123,0)+ROUNDDOWN(IF(O23&lt;=100,0,IF(AND(O23&gt;=101,O23&lt;=200),O23-100,100))*J124,0)+ROUNDDOWN(IF(O23&lt;=200,0,O23-200)*J125,0))*$J$11,0))</f>
        <v>5165</v>
      </c>
      <c r="J23" s="59">
        <f>(VLOOKUP(P23,$E$119:$G$126,3,FALSE)+ROUNDDOWN(IF(O23&lt;K119,0,IF(AND(O23&gt;=K119,O23&lt;=L119),O23-(K119-1),(L119-K119+1)))*M119,0)+ROUNDDOWN(IF(O23&lt;K120,0,IF(AND(O23&gt;=K120,O23&lt;=L120),O23-(K120-1),(L120-K120+1)))*M120,0)+ROUNDDOWN(IF(O23&lt;K121,0,IF(AND(O23&gt;=K121,O23&lt;=L121),O23-(K121-1),(L121-K121+1)))*M121,0)+ROUNDDOWN(IF(O23&lt;K122,0,IF(AND(O23&gt;=K122,O23&lt;=L122),O23-(K122-1),(L122-K122+1)))*M122,0)+ROUNDDOWN(IF(O23&lt;K123,0,IF(AND(O23&gt;=K123,O23&lt;=L123),O23-(K123-1),(L123-K123+1)))*M123,0)+ROUNDDOWN(IF(O23&lt;K124,0,IF(AND(O23&gt;=K124,O23&lt;=L124),O23-(K124-1),(L124-K124+1)))*M124,0)+ROUNDDOWN(IF(O23&lt;K125,0,O23-(K125-1))*M125,0))+(ROUNDDOWN((VLOOKUP(P23,$E$119:$G$126,3,FALSE)+ROUNDDOWN(IF(O23&lt;K119,0,IF(AND(O23&gt;=K119,O23&lt;=L119),O23-(K119-1),(L119-K119+1)))*M119,0)+ROUNDDOWN(IF(O23&lt;K120,0,IF(AND(O23&gt;=K120,O23&lt;=L120),O23-(K120-1),(L120-K120+1)))*M120,0)+ROUNDDOWN(IF(O23&lt;K121,0,IF(AND(O23&gt;=K121,O23&lt;=L121),O23-(K121-1),(L121-K121+1)))*M121,0)+ROUNDDOWN(IF(O23&lt;K122,0,IF(AND(O23&gt;=K122,O23&lt;=L122),O23-(K122-1),(L122-K122+1)))*M122,0)+ROUNDDOWN(IF(O23&lt;K123,0,IF(AND(O23&gt;=K123,O23&lt;=L123),O23-(K123-1),(L123-K123+1)))*M123,0)+ROUNDDOWN(IF(O23&lt;K124,0,IF(AND(O23&gt;=K124,O23&lt;=L124),O23-(K124-1),(L124-K124+1)))*M124,0)+ROUNDDOWN(IF(O23&lt;K125,0,O23-(K125-1))*M125,0))*J11,0))</f>
        <v>6974</v>
      </c>
      <c r="K23" s="109">
        <f t="shared" si="1"/>
        <v>1809</v>
      </c>
      <c r="L23" s="111">
        <f t="shared" si="2"/>
        <v>0.35024201355275886</v>
      </c>
      <c r="M23" s="35"/>
      <c r="N23" s="35"/>
      <c r="O23" s="31">
        <v>48</v>
      </c>
      <c r="P23" s="31">
        <v>13</v>
      </c>
    </row>
    <row r="24" spans="2:16" ht="30" customHeight="1" x14ac:dyDescent="0.4">
      <c r="B24" s="31"/>
      <c r="C24" s="33"/>
      <c r="D24" s="33"/>
      <c r="E24" s="33"/>
      <c r="F24" s="33"/>
      <c r="G24" s="33"/>
      <c r="H24" s="35"/>
      <c r="I24" s="58">
        <f>I23+(+F131+ROUNDDOWN(IF(O24&lt;=20,0,IF(AND(O24&gt;=21,O24&lt;=40),O24-20,20))*J133,0)+ROUNDDOWN(IF(O24&lt;=40,0,IF(AND(O24&gt;=41,O24&lt;=60),O24-40,20))*J134,0)+ROUNDDOWN(IF(O24&lt;=60,0,IF(AND(O24&gt;=61,O24&lt;=100),O24-60,40))*J135,0)+ROUNDDOWN(IF(O24&lt;=100,0,IF(AND(O24&gt;=101,O24&lt;=200),O24-100,100))*J136,0)+ROUNDDOWN(IF(O24&lt;=200,0,IF(AND(O24&gt;=201,O24&lt;=400),O24-200,200))*J137,0)+ROUNDDOWN(IF(O24&lt;=400,0,IF(AND(O24&gt;=401,O24&lt;=1000),O24-400,600))*J138,0)+ROUNDDOWN(IF(O24&lt;=1000,0,O24-1000)*J139,0))+(ROUNDDOWN((+F131+ROUNDDOWN(IF(O24&lt;=20,0,IF(AND(O24&gt;=21,O24&lt;=40),O24-20,20))*J133,0)+ROUNDDOWN(IF(O24&lt;=40,0,IF(AND(O24&gt;=41,O24&lt;=60),O24-40,20))*J134,0)+ROUNDDOWN(IF(O24&lt;=60,0,IF(AND(O24&gt;=61,O24&lt;=100),O24-60,40))*J135,0)+ROUNDDOWN(IF(O24&lt;=100,0,IF(AND(O24&gt;=101,O24&lt;=200),O24-100,100))*J136,0)+ROUNDDOWN(IF(O24&lt;=200,0,IF(AND(O24&gt;=201,O24&lt;=400),O24-200,200))*J137,0)+ROUNDDOWN(IF(O24&lt;=400,0,IF(AND(O24&gt;=401,O24&lt;=1000),O24-400,600))*J138,0)+ROUNDDOWN(IF(O24&lt;=1000,0,O24-1000)*J139,0))*$J$11,0))</f>
        <v>8949</v>
      </c>
      <c r="J24" s="59">
        <f>J23+(+G131+ROUNDDOWN(IF(O24&lt;K131,0,IF(AND(O24&gt;=K131,O24&lt;=L131),O24-(K131-1),(L131-K131+1)))*M131,0)+ROUNDDOWN(IF(O24&lt;K132,0,IF(AND(O24&gt;=K132,O24&lt;=L132),O24-(K132-1),(L132-K132+1)))*M132,0)+ROUNDDOWN(IF(O24&lt;K133,0,IF(AND(O24&gt;=K133,O24&lt;=L133),O24-(K133-1),(L133-K133+1)))*M133,0)+ROUNDDOWN(IF(O24&lt;K134,0,IF(AND(O24&gt;=K134,O24&lt;=L134),O24-(K134-1),(L134-K134+1)))*M134,0)+ROUNDDOWN(IF(O24&lt;K135,0,IF(AND(O24&gt;=K135,O24&lt;=L135),O24-(K135-1),(L135-K135+1)))*M135,0)+ROUNDDOWN(IF(O24&lt;K136,0,IF(AND(O24&gt;=K136,O24&lt;=L136),O24-(K136-1),(L136-K136+1)))*M136,0)+ROUNDDOWN(IF(O24&lt;K137,0,IF(AND(O24&gt;=K137,O24&lt;=L137),O24-(K137-1),(L137-K137+1)))*M137,0)+ROUNDDOWN(IF(O24&lt;K138,0,IF(AND(O24&gt;=K138,O24&lt;=L138),O24-(K138-1),(L138-K138+1)))*M138,0)+ROUNDDOWN(IF(O24&lt;K139,0,O24-(K139-1))*M139,0))+(ROUNDDOWN((+G131+ROUNDDOWN(IF(O24&lt;K131,0,IF(AND(O24&gt;=K131,O24&lt;=L131),O24-(K131-1),(L131-K131+1)))*M131,0)+ROUNDDOWN(IF(O24&lt;K132,0,IF(AND(O24&gt;=K132,O24&lt;=L132),O24-(K132-1),(L132-K132+1)))*M132,0)+ROUNDDOWN(IF(O24&lt;K133,0,IF(AND(O24&gt;=K133,O24&lt;=L133),O24-(K133-1),(L133-K133+1)))*M133,0)+ROUNDDOWN(IF(O24&lt;K134,0,IF(AND(O24&gt;=K134,O24&lt;=L134),O24-(K134-1),(L134-K134+1)))*M134,0)+ROUNDDOWN(IF(O24&lt;K135,0,IF(AND(O24&gt;=K135,O24&lt;=L135),O24-(K135-1),(L135-K135+1)))*M135,0)+ROUNDDOWN(IF(O24&lt;K136,0,IF(AND(O24&gt;=K136,O24&lt;=L136),O24-(K136-1),(L136-K136+1)))*M136,0)+ROUNDDOWN(IF(O24&lt;K137,0,IF(AND(O24&gt;=K137,O24&lt;=L137),O24-(K137-1),(L137-K137+1)))*M137,0)+ROUNDDOWN(IF(O24&lt;K138,0,IF(AND(O24&gt;=K138,O24&lt;=L138),O24-(K138-1),(L138-K138+1)))*M138,0)+ROUNDDOWN(IF(O24&lt;K139,0,O24-(K139-1))*M139,0))*$J$11,0))</f>
        <v>12056</v>
      </c>
      <c r="K24" s="109">
        <f t="shared" si="1"/>
        <v>3107</v>
      </c>
      <c r="L24" s="111">
        <f t="shared" si="2"/>
        <v>0.34718963012627113</v>
      </c>
      <c r="M24" s="35"/>
      <c r="N24" s="35"/>
      <c r="O24" s="31">
        <v>48</v>
      </c>
      <c r="P24" s="31">
        <v>13</v>
      </c>
    </row>
    <row r="25" spans="2:16" ht="30" customHeight="1" x14ac:dyDescent="0.4">
      <c r="B25" s="31"/>
      <c r="C25" s="35"/>
      <c r="D25" s="47"/>
      <c r="E25" s="47"/>
      <c r="F25" s="35"/>
      <c r="G25" s="35"/>
      <c r="H25" s="35"/>
      <c r="I25" s="58">
        <f>(VLOOKUP($P$25,$E$119:$G$126,2,FALSE)+ROUNDDOWN(IF(O25&lt;=20,0,IF(AND(O25&gt;=21,O25&lt;=40),O25-20,20))*J121,0)+ROUNDDOWN(IF(O25&lt;=40,0,IF(AND(O25&gt;=41,O25&lt;=60),O25-40,20))*J122,0)+ROUNDDOWN(IF(O25&lt;=60,0,IF(AND(O25&gt;=61,O25&lt;=100),O25-60,40))*J123,0)+ROUNDDOWN(IF(O25&lt;=100,0,IF(AND(O25&gt;=101,O25&lt;=200),O25-100,100))*J124,0)+ROUNDDOWN(IF(O25&lt;=200,0,O25-200)*J125,0))+(ROUNDDOWN((VLOOKUP($P$25,$E$119:$G$126,2,FALSE)+ROUNDDOWN(IF(O25&lt;=20,0,IF(AND(O25&gt;=21,O25&lt;=40),O25-20,20))*J121,0)+ROUNDDOWN(IF(O25&lt;=40,0,IF(AND(O25&gt;=41,O25&lt;=60),O25-40,20))*J122,0)+ROUNDDOWN(IF(O25&lt;=60,0,IF(AND(O25&gt;=61,O25&lt;=100),O25-60,40))*J123,0)+ROUNDDOWN(IF(O25&lt;=100,0,IF(AND(O25&gt;=101,O25&lt;=200),O25-100,100))*J124,0)+ROUNDDOWN(IF(O25&lt;=200,0,O25-200)*J125,0))*$J$11,0))</f>
        <v>5288</v>
      </c>
      <c r="J25" s="59">
        <f>(VLOOKUP(P25,$E$119:$G$126,3,FALSE)+ROUNDDOWN(IF(O25&lt;K119,0,IF(AND(O25&gt;=K119,O25&lt;=L119),O25-(K119-1),(L119-K119+1)))*M119,0)+ROUNDDOWN(IF(O25&lt;K120,0,IF(AND(O25&gt;=K120,O25&lt;=L120),O25-(K120-1),(L120-K120+1)))*M120,0)+ROUNDDOWN(IF(O25&lt;K121,0,IF(AND(O25&gt;=K121,O25&lt;=L121),O25-(K121-1),(L121-K121+1)))*M121,0)+ROUNDDOWN(IF(O25&lt;K122,0,IF(AND(O25&gt;=K122,O25&lt;=L122),O25-(K122-1),(L122-K122+1)))*M122,0)+ROUNDDOWN(IF(O25&lt;K123,0,IF(AND(O25&gt;=K123,O25&lt;=L123),O25-(K123-1),(L123-K123+1)))*M123,0)+ROUNDDOWN(IF(O25&lt;K124,0,IF(AND(O25&gt;=K124,O25&lt;=L124),O25-(K124-1),(L124-K124+1)))*M124,0)+ROUNDDOWN(IF(O25&lt;K125,0,O25-(K125-1))*M125,0))+(ROUNDDOWN((VLOOKUP(P25,$E$119:$G$126,3,FALSE)+ROUNDDOWN(IF(O25&lt;K119,0,IF(AND(O25&gt;=K119,O25&lt;=L119),O25-(K119-1),(L119-K119+1)))*M119,0)+ROUNDDOWN(IF(O25&lt;K120,0,IF(AND(O25&gt;=K120,O25&lt;=L120),O25-(K120-1),(L120-K120+1)))*M120,0)+ROUNDDOWN(IF(O25&lt;K121,0,IF(AND(O25&gt;=K121,O25&lt;=L121),O25-(K121-1),(L121-K121+1)))*M121,0)+ROUNDDOWN(IF(O25&lt;K122,0,IF(AND(O25&gt;=K122,O25&lt;=L122),O25-(K122-1),(L122-K122+1)))*M122,0)+ROUNDDOWN(IF(O25&lt;K123,0,IF(AND(O25&gt;=K123,O25&lt;=L123),O25-(K123-1),(L123-K123+1)))*M123,0)+ROUNDDOWN(IF(O25&lt;K124,0,IF(AND(O25&gt;=K124,O25&lt;=L124),O25-(K124-1),(L124-K124+1)))*M124,0)+ROUNDDOWN(IF(O25&lt;K125,0,O25-(K125-1))*M125,0))*J11,0))</f>
        <v>7106</v>
      </c>
      <c r="K25" s="109">
        <f t="shared" si="1"/>
        <v>1818</v>
      </c>
      <c r="L25" s="111">
        <f t="shared" si="2"/>
        <v>0.34379727685325268</v>
      </c>
      <c r="M25" s="35"/>
      <c r="N25" s="35"/>
      <c r="O25" s="31">
        <v>48</v>
      </c>
      <c r="P25" s="31">
        <v>20</v>
      </c>
    </row>
    <row r="26" spans="2:16" ht="30" customHeight="1" x14ac:dyDescent="0.4">
      <c r="B26" s="31"/>
      <c r="C26" s="35"/>
      <c r="D26" s="47"/>
      <c r="E26" s="47"/>
      <c r="F26" s="35"/>
      <c r="G26" s="35"/>
      <c r="H26" s="35"/>
      <c r="I26" s="58">
        <f>I25+(+F131+ROUNDDOWN(IF(O26&lt;=20,0,IF(AND(O26&gt;=21,O26&lt;=40),O26-20,20))*J133,0)+ROUNDDOWN(IF(O26&lt;=40,0,IF(AND(O26&gt;=41,O26&lt;=60),O26-40,20))*J134,0)+ROUNDDOWN(IF(O26&lt;=60,0,IF(AND(O26&gt;=61,O26&lt;=100),O26-60,40))*J135,0)+ROUNDDOWN(IF(O26&lt;=100,0,IF(AND(O26&gt;=101,O26&lt;=200),O26-100,100))*J136,0)+ROUNDDOWN(IF(O26&lt;=200,0,IF(AND(O26&gt;=201,O26&lt;=400),O26-200,200))*J137,0)+ROUNDDOWN(IF(O26&lt;=400,0,IF(AND(O26&gt;=401,O26&lt;=1000),O26-400,600))*J138,0)+ROUNDDOWN(IF(O26&lt;=1000,0,O26-1000)*J139,0))+(ROUNDDOWN((+F131+ROUNDDOWN(IF(O26&lt;=20,0,IF(AND(O26&gt;=21,O26&lt;=40),O26-20,20))*J133,0)+ROUNDDOWN(IF(O26&lt;=40,0,IF(AND(O26&gt;=41,O26&lt;=60),O26-40,20))*J134,0)+ROUNDDOWN(IF(O26&lt;=60,0,IF(AND(O26&gt;=61,O26&lt;=100),O26-60,40))*J135,0)+ROUNDDOWN(IF(O26&lt;=100,0,IF(AND(O26&gt;=101,O26&lt;=200),O26-100,100))*J136,0)+ROUNDDOWN(IF(O26&lt;=200,0,IF(AND(O26&gt;=201,O26&lt;=400),O26-200,200))*J137,0)+ROUNDDOWN(IF(O26&lt;=400,0,IF(AND(O26&gt;=401,O26&lt;=1000),O26-400,600))*J138,0)+ROUNDDOWN(IF(O26&lt;=1000,0,O26-1000)*J139,0))*$J$11,0))</f>
        <v>9072</v>
      </c>
      <c r="J26" s="59">
        <f>J25+(+G131+ROUNDDOWN(IF(O26&lt;K131,0,IF(AND(O26&gt;=K131,O26&lt;=L131),O26-(K131-1),(L131-K131+1)))*M131,0)+ROUNDDOWN(IF(O26&lt;K132,0,IF(AND(O26&gt;=K132,O26&lt;=L132),O26-(K132-1),(L132-K132+1)))*M132,0)+ROUNDDOWN(IF(O26&lt;K133,0,IF(AND(O26&gt;=K133,O26&lt;=L133),O26-(K133-1),(L133-K133+1)))*M133,0)+ROUNDDOWN(IF(O26&lt;K134,0,IF(AND(O26&gt;=K134,O26&lt;=L134),O26-(K134-1),(L134-K134+1)))*M134,0)+ROUNDDOWN(IF(O26&lt;K135,0,IF(AND(O26&gt;=K135,O26&lt;=L135),O26-(K135-1),(L135-K135+1)))*M135,0)+ROUNDDOWN(IF(O26&lt;K136,0,IF(AND(O26&gt;=K136,O26&lt;=L136),O26-(K136-1),(L136-K136+1)))*M136,0)+ROUNDDOWN(IF(O26&lt;K137,0,IF(AND(O26&gt;=K137,O26&lt;=L137),O26-(K137-1),(L137-K137+1)))*M137,0)+ROUNDDOWN(IF(O26&lt;K138,0,IF(AND(O26&gt;=K138,O26&lt;=L138),O26-(K138-1),(L138-K138+1)))*M138,0)+ROUNDDOWN(IF(O26&lt;K139,0,O26-(K139-1))*M139,0))+(ROUNDDOWN((+G131+ROUNDDOWN(IF(O26&lt;K131,0,IF(AND(O26&gt;=K131,O26&lt;=L131),O26-(K131-1),(L131-K131+1)))*M131,0)+ROUNDDOWN(IF(O26&lt;K132,0,IF(AND(O26&gt;=K132,O26&lt;=L132),O26-(K132-1),(L132-K132+1)))*M132,0)+ROUNDDOWN(IF(O26&lt;K133,0,IF(AND(O26&gt;=K133,O26&lt;=L133),O26-(K133-1),(L133-K133+1)))*M133,0)+ROUNDDOWN(IF(O26&lt;K134,0,IF(AND(O26&gt;=K134,O26&lt;=L134),O26-(K134-1),(L134-K134+1)))*M134,0)+ROUNDDOWN(IF(O26&lt;K135,0,IF(AND(O26&gt;=K135,O26&lt;=L135),O26-(K135-1),(L135-K135+1)))*M135,0)+ROUNDDOWN(IF(O26&lt;K136,0,IF(AND(O26&gt;=K136,O26&lt;=L136),O26-(K136-1),(L136-K136+1)))*M136,0)+ROUNDDOWN(IF(O26&lt;K137,0,IF(AND(O26&gt;=K137,O26&lt;=L137),O26-(K137-1),(L137-K137+1)))*M137,0)+ROUNDDOWN(IF(O26&lt;K138,0,IF(AND(O26&gt;=K138,O26&lt;=L138),O26-(K138-1),(L138-K138+1)))*M138,0)+ROUNDDOWN(IF(O26&lt;K139,0,O26-(K139-1))*M139,0))*$J$11,0))</f>
        <v>12188</v>
      </c>
      <c r="K26" s="109">
        <f t="shared" si="1"/>
        <v>3116</v>
      </c>
      <c r="L26" s="111">
        <f t="shared" si="2"/>
        <v>0.34347442680776008</v>
      </c>
      <c r="M26" s="35"/>
      <c r="N26" s="35"/>
      <c r="O26" s="31">
        <v>48</v>
      </c>
      <c r="P26" s="31">
        <v>20</v>
      </c>
    </row>
    <row r="27" spans="2:16" ht="30" customHeight="1" x14ac:dyDescent="0.4">
      <c r="B27" s="31"/>
      <c r="C27" s="35"/>
      <c r="D27" s="47"/>
      <c r="E27" s="47"/>
      <c r="F27" s="35"/>
      <c r="G27" s="35"/>
      <c r="H27" s="35"/>
      <c r="I27" s="58">
        <f>(VLOOKUP($P$27,$E$119:$G$126,2,FALSE)+ROUNDDOWN(IF(O27&lt;=20,0,IF(AND(O27&gt;=21,O27&lt;=40),O27-20,20))*J121,0)+ROUNDDOWN(IF(O27&lt;=40,0,IF(AND(O27&gt;=41,O27&lt;=60),O27-40,20))*J122,0)+ROUNDDOWN(IF(O27&lt;=60,0,IF(AND(O27&gt;=61,O27&lt;=100),O27-60,40))*J123,0)+ROUNDDOWN(IF(O27&lt;=100,0,IF(AND(O27&gt;=101,O27&lt;=200),O27-100,100))*J124,0)+ROUNDDOWN(IF(O27&lt;=200,0,O27-200)*J125,0))+(ROUNDDOWN((VLOOKUP($P$27,$E$119:$G$126,2,FALSE)+ROUNDDOWN(IF(O27&lt;=20,0,IF(AND(O27&gt;=21,O27&lt;=40),O27-20,20))*J121,0)+ROUNDDOWN(IF(O27&lt;=40,0,IF(AND(O27&gt;=41,O27&lt;=60),O27-40,20))*J122,0)+ROUNDDOWN(IF(O27&lt;=60,0,IF(AND(O27&gt;=61,O27&lt;=100),O27-60,40))*J123,0)+ROUNDDOWN(IF(O27&lt;=100,0,IF(AND(O27&gt;=101,O27&lt;=200),O27-100,100))*J124,0)+ROUNDDOWN(IF(O27&lt;=200,0,O27-200)*J125,0))*$J$11,0))</f>
        <v>9631</v>
      </c>
      <c r="J27" s="59">
        <f>(VLOOKUP(P27,$E$119:$G$126,3,FALSE)+ROUNDDOWN(IF(O27&lt;K119,0,IF(AND(O27&gt;=K119,O27&lt;=L119),O27-(K119-1),(L119-K119+1)))*M119,0)+ROUNDDOWN(IF(O27&lt;K120,0,IF(AND(O27&gt;=K120,O27&lt;=L120),O27-(K120-1),(L120-K120+1)))*M120,0)+ROUNDDOWN(IF(O27&lt;K121,0,IF(AND(O27&gt;=K121,O27&lt;=L121),O27-(K121-1),(L121-K121+1)))*M121,0)+ROUNDDOWN(IF(O27&lt;K122,0,IF(AND(O27&gt;=K122,O27&lt;=L122),O27-(K122-1),(L122-K122+1)))*M122,0)+ROUNDDOWN(IF(O27&lt;K123,0,IF(AND(O27&gt;=K123,O27&lt;=L123),O27-(K123-1),(L123-K123+1)))*M123,0)+ROUNDDOWN(IF(O27&lt;K124,0,IF(AND(O27&gt;=K124,O27&lt;=L124),O27-(K124-1),(L124-K124+1)))*M124,0)+ROUNDDOWN(IF(O27&lt;K125,0,O27-(K125-1))*M125,0))+(ROUNDDOWN((VLOOKUP(P27,$E$119:$G$126,3,FALSE)+ROUNDDOWN(IF(O27&lt;K119,0,IF(AND(O27&gt;=K119,O27&lt;=L119),O27-(K119-1),(L119-K119+1)))*M119,0)+ROUNDDOWN(IF(O27&lt;K120,0,IF(AND(O27&gt;=K120,O27&lt;=L120),O27-(K120-1),(L120-K120+1)))*M120,0)+ROUNDDOWN(IF(O27&lt;K121,0,IF(AND(O27&gt;=K121,O27&lt;=L121),O27-(K121-1),(L121-K121+1)))*M121,0)+ROUNDDOWN(IF(O27&lt;K122,0,IF(AND(O27&gt;=K122,O27&lt;=L122),O27-(K122-1),(L122-K122+1)))*M122,0)+ROUNDDOWN(IF(O27&lt;K123,0,IF(AND(O27&gt;=K123,O27&lt;=L123),O27-(K123-1),(L123-K123+1)))*M123,0)+ROUNDDOWN(IF(O27&lt;K124,0,IF(AND(O27&gt;=K124,O27&lt;=L124),O27-(K124-1),(L124-K124+1)))*M124,0)+ROUNDDOWN(IF(O27&lt;K125,0,O27-(K125-1))*M125,0))*J11,0))</f>
        <v>13024</v>
      </c>
      <c r="K27" s="109">
        <f t="shared" ref="K27:K36" si="3">+J27-I27</f>
        <v>3393</v>
      </c>
      <c r="L27" s="111">
        <f t="shared" ref="L27:L36" si="4">+J27/I27-1</f>
        <v>0.35229986501920885</v>
      </c>
      <c r="M27" s="35"/>
      <c r="N27" s="35"/>
      <c r="O27" s="31">
        <v>74</v>
      </c>
      <c r="P27" s="31">
        <v>13</v>
      </c>
    </row>
    <row r="28" spans="2:16" ht="30" customHeight="1" x14ac:dyDescent="0.4">
      <c r="B28" s="31"/>
      <c r="C28" s="35"/>
      <c r="D28" s="47"/>
      <c r="E28" s="47"/>
      <c r="F28" s="35"/>
      <c r="G28" s="35"/>
      <c r="H28" s="35"/>
      <c r="I28" s="58">
        <f>I27+(+F131+ROUNDDOWN(IF(O28&lt;=20,0,IF(AND(O28&gt;=21,O28&lt;=40),O28-20,20))*J133,0)+ROUNDDOWN(IF(O28&lt;=40,0,IF(AND(O28&gt;=41,O28&lt;=60),O28-40,20))*J134,0)+ROUNDDOWN(IF(O28&lt;=60,0,IF(AND(O28&gt;=61,O28&lt;=100),O28-60,40))*J135,0)+ROUNDDOWN(IF(O28&lt;=100,0,IF(AND(O28&gt;=101,O28&lt;=200),O28-100,100))*J136,0)+ROUNDDOWN(IF(O28&lt;=200,0,IF(AND(O28&gt;=201,O28&lt;=400),O28-200,200))*J137,0)+ROUNDDOWN(IF(O28&lt;=400,0,IF(AND(O28&gt;=401,O28&lt;=1000),O28-400,600))*J138,0)+ROUNDDOWN(IF(O28&lt;=1000,0,O28-1000)*J139,0))+(ROUNDDOWN((+F131+ROUNDDOWN(IF(O28&lt;=20,0,IF(AND(O28&gt;=21,O28&lt;=40),O28-20,20))*J133,0)+ROUNDDOWN(IF(O28&lt;=40,0,IF(AND(O28&gt;=41,O28&lt;=60),O28-40,20))*J134,0)+ROUNDDOWN(IF(O28&lt;=60,0,IF(AND(O28&gt;=61,O28&lt;=100),O28-60,40))*J135,0)+ROUNDDOWN(IF(O28&lt;=100,0,IF(AND(O28&gt;=101,O28&lt;=200),O28-100,100))*J136,0)+ROUNDDOWN(IF(O28&lt;=200,0,IF(AND(O28&gt;=201,O28&lt;=400),O28-200,200))*J137,0)+ROUNDDOWN(IF(O28&lt;=400,0,IF(AND(O28&gt;=401,O28&lt;=1000),O28-400,600))*J138,0)+ROUNDDOWN(IF(O28&lt;=1000,0,O28-1000)*J139,0))*$J$11,0))</f>
        <v>15857</v>
      </c>
      <c r="J28" s="59">
        <f>J27+(+G131+ROUNDDOWN(IF(O28&lt;K131,0,IF(AND(O28&gt;=K131,O28&lt;=L131),O28-(K131-1),(L131-K131+1)))*M131,0)+ROUNDDOWN(IF(O28&lt;K132,0,IF(AND(O28&gt;=K132,O28&lt;=L132),O28-(K132-1),(L132-K132+1)))*M132,0)+ROUNDDOWN(IF(O28&lt;K133,0,IF(AND(O28&gt;=K133,O28&lt;=L133),O28-(K133-1),(L133-K133+1)))*M133,0)+ROUNDDOWN(IF(O28&lt;K134,0,IF(AND(O28&gt;=K134,O28&lt;=L134),O28-(K134-1),(L134-K134+1)))*M134,0)+ROUNDDOWN(IF(O28&lt;K135,0,IF(AND(O28&gt;=K135,O28&lt;=L135),O28-(K135-1),(L135-K135+1)))*M135,0)+ROUNDDOWN(IF(O28&lt;K136,0,IF(AND(O28&gt;=K136,O28&lt;=L136),O28-(K136-1),(L136-K136+1)))*M136,0)+ROUNDDOWN(IF(O28&lt;K137,0,IF(AND(O28&gt;=K137,O28&lt;=L137),O28-(K137-1),(L137-K137+1)))*M137,0)+ROUNDDOWN(IF(O28&lt;K138,0,IF(AND(O28&gt;=K138,O28&lt;=L138),O28-(K138-1),(L138-K138+1)))*M138,0)+ROUNDDOWN(IF(O28&lt;K139,0,O28-(K139-1))*M139,0))+(ROUNDDOWN((+G131+ROUNDDOWN(IF(O28&lt;K131,0,IF(AND(O28&gt;=K131,O28&lt;=L131),O28-(K131-1),(L131-K131+1)))*M131,0)+ROUNDDOWN(IF(O28&lt;K132,0,IF(AND(O28&gt;=K132,O28&lt;=L132),O28-(K132-1),(L132-K132+1)))*M132,0)+ROUNDDOWN(IF(O28&lt;K133,0,IF(AND(O28&gt;=K133,O28&lt;=L133),O28-(K133-1),(L133-K133+1)))*M133,0)+ROUNDDOWN(IF(O28&lt;K134,0,IF(AND(O28&gt;=K134,O28&lt;=L134),O28-(K134-1),(L134-K134+1)))*M134,0)+ROUNDDOWN(IF(O28&lt;K135,0,IF(AND(O28&gt;=K135,O28&lt;=L135),O28-(K135-1),(L135-K135+1)))*M135,0)+ROUNDDOWN(IF(O28&lt;K136,0,IF(AND(O28&gt;=K136,O28&lt;=L136),O28-(K136-1),(L136-K136+1)))*M136,0)+ROUNDDOWN(IF(O28&lt;K137,0,IF(AND(O28&gt;=K137,O28&lt;=L137),O28-(K137-1),(L137-K137+1)))*M137,0)+ROUNDDOWN(IF(O28&lt;K138,0,IF(AND(O28&gt;=K138,O28&lt;=L138),O28-(K138-1),(L138-K138+1)))*M138,0)+ROUNDDOWN(IF(O28&lt;K139,0,O28-(K139-1))*M139,0))*$J$11,0))</f>
        <v>21406</v>
      </c>
      <c r="K28" s="109">
        <f t="shared" si="3"/>
        <v>5549</v>
      </c>
      <c r="L28" s="111">
        <f t="shared" si="4"/>
        <v>0.34994008955035638</v>
      </c>
      <c r="M28" s="35"/>
      <c r="N28" s="35"/>
      <c r="O28" s="31">
        <v>74</v>
      </c>
      <c r="P28" s="31">
        <v>13</v>
      </c>
    </row>
    <row r="29" spans="2:16" ht="30" customHeight="1" x14ac:dyDescent="0.4">
      <c r="B29" s="31"/>
      <c r="C29" s="35"/>
      <c r="D29" s="35"/>
      <c r="E29" s="35"/>
      <c r="F29" s="35"/>
      <c r="G29" s="48"/>
      <c r="H29" s="48"/>
      <c r="I29" s="58">
        <f>(VLOOKUP($P$29,$E$119:$G$126,2,FALSE)+ROUNDDOWN(IF(O29&lt;=20,0,IF(AND(O29&gt;=21,O29&lt;=40),O29-20,20))*J121,0)+ROUNDDOWN(IF(O29&lt;=40,0,IF(AND(O29&gt;=41,O29&lt;=60),O29-40,20))*J122,0)+ROUNDDOWN(IF(O29&lt;=60,0,IF(AND(O29&gt;=61,O29&lt;=100),O29-60,40))*J123,0)+ROUNDDOWN(IF(O29&lt;=100,0,IF(AND(O29&gt;=101,O29&lt;=200),O29-100,100))*J124,0)+ROUNDDOWN(IF(O29&lt;=200,0,O29-200)*J125,0))+(ROUNDDOWN((VLOOKUP($P$29,$E$119:$G$126,2,FALSE)+ROUNDDOWN(IF(O29&lt;=20,0,IF(AND(O29&gt;=21,O29&lt;=40),O29-20,20))*J121,0)+ROUNDDOWN(IF(O29&lt;=40,0,IF(AND(O29&gt;=41,O29&lt;=60),O29-40,20))*J122,0)+ROUNDDOWN(IF(O29&lt;=60,0,IF(AND(O29&gt;=61,O29&lt;=100),O29-60,40))*J123,0)+ROUNDDOWN(IF(O29&lt;=100,0,IF(AND(O29&gt;=101,O29&lt;=200),O29-100,100))*J124,0)+ROUNDDOWN(IF(O29&lt;=200,0,O29-200)*J125,0))*$J$11,0))</f>
        <v>9754</v>
      </c>
      <c r="J29" s="59">
        <f>(VLOOKUP(P29,$E$119:$G$126,3,FALSE)+ROUNDDOWN(IF(O29&lt;K119,0,IF(AND(O29&gt;=K119,O29&lt;=L119),O29-(K119-1),(L119-K119+1)))*M119,0)+ROUNDDOWN(IF(O29&lt;K120,0,IF(AND(O29&gt;=K120,O29&lt;=L120),O29-(K120-1),(L120-K120+1)))*M120,0)+ROUNDDOWN(IF(O29&lt;K121,0,IF(AND(O29&gt;=K121,O29&lt;=L121),O29-(K121-1),(L121-K121+1)))*M121,0)+ROUNDDOWN(IF(O29&lt;K122,0,IF(AND(O29&gt;=K122,O29&lt;=L122),O29-(K122-1),(L122-K122+1)))*M122,0)+ROUNDDOWN(IF(O29&lt;K123,0,IF(AND(O29&gt;=K123,O29&lt;=L123),O29-(K123-1),(L123-K123+1)))*M123,0)+ROUNDDOWN(IF(O29&lt;K124,0,IF(AND(O29&gt;=K124,O29&lt;=L124),O29-(K124-1),(L124-K124+1)))*M124,0)+ROUNDDOWN(IF(O29&lt;K125,0,O29-(K125-1))*M125,0))+(ROUNDDOWN((VLOOKUP(P29,$E$119:$G$126,3,FALSE)+ROUNDDOWN(IF(O29&lt;K119,0,IF(AND(O29&gt;=K119,O29&lt;=L119),O29-(K119-1),(L119-K119+1)))*M119,0)+ROUNDDOWN(IF(O29&lt;K120,0,IF(AND(O29&gt;=K120,O29&lt;=L120),O29-(K120-1),(L120-K120+1)))*M120,0)+ROUNDDOWN(IF(O29&lt;K121,0,IF(AND(O29&gt;=K121,O29&lt;=L121),O29-(K121-1),(L121-K121+1)))*M121,0)+ROUNDDOWN(IF(O29&lt;K122,0,IF(AND(O29&gt;=K122,O29&lt;=L122),O29-(K122-1),(L122-K122+1)))*M122,0)+ROUNDDOWN(IF(O29&lt;K123,0,IF(AND(O29&gt;=K123,O29&lt;=L123),O29-(K123-1),(L123-K123+1)))*M123,0)+ROUNDDOWN(IF(O29&lt;K124,0,IF(AND(O29&gt;=K124,O29&lt;=L124),O29-(K124-1),(L124-K124+1)))*M124,0)+ROUNDDOWN(IF(O29&lt;K125,0,O29-(K125-1))*M125,0))*J11,0))</f>
        <v>13156</v>
      </c>
      <c r="K29" s="109">
        <f t="shared" si="3"/>
        <v>3402</v>
      </c>
      <c r="L29" s="111">
        <f t="shared" si="4"/>
        <v>0.34877998769735497</v>
      </c>
      <c r="M29" s="49"/>
      <c r="N29" s="49"/>
      <c r="O29" s="31">
        <v>74</v>
      </c>
      <c r="P29" s="31">
        <v>20</v>
      </c>
    </row>
    <row r="30" spans="2:16" ht="30" customHeight="1" x14ac:dyDescent="0.4">
      <c r="B30" s="31"/>
      <c r="C30" s="35"/>
      <c r="D30" s="35"/>
      <c r="E30" s="35"/>
      <c r="F30" s="35"/>
      <c r="G30" s="48"/>
      <c r="H30" s="48"/>
      <c r="I30" s="58">
        <f>I29+(+F131+ROUNDDOWN(IF(O30&lt;=20,0,IF(AND(O30&gt;=21,O30&lt;=40),O30-20,20))*J133,0)+ROUNDDOWN(IF(O30&lt;=40,0,IF(AND(O30&gt;=41,O30&lt;=60),O30-40,20))*J134,0)+ROUNDDOWN(IF(O30&lt;=60,0,IF(AND(O30&gt;=61,O30&lt;=100),O30-60,40))*J135,0)+ROUNDDOWN(IF(O30&lt;=100,0,IF(AND(O30&gt;=101,O30&lt;=200),O30-100,100))*J136,0)+ROUNDDOWN(IF(O30&lt;=200,0,IF(AND(O30&gt;=201,O30&lt;=400),O30-200,200))*J137,0)+ROUNDDOWN(IF(O30&lt;=400,0,IF(AND(O30&gt;=401,O30&lt;=1000),O30-400,600))*J138,0)+ROUNDDOWN(IF(O30&lt;=1000,0,O30-1000)*J139,0))+(ROUNDDOWN((+F131+ROUNDDOWN(IF(O30&lt;=20,0,IF(AND(O30&gt;=21,O30&lt;=40),O30-20,20))*J133,0)+ROUNDDOWN(IF(O30&lt;=40,0,IF(AND(O30&gt;=41,O30&lt;=60),O30-40,20))*J134,0)+ROUNDDOWN(IF(O30&lt;=60,0,IF(AND(O30&gt;=61,O30&lt;=100),O30-60,40))*J135,0)+ROUNDDOWN(IF(O30&lt;=100,0,IF(AND(O30&gt;=101,O30&lt;=200),O30-100,100))*J136,0)+ROUNDDOWN(IF(O30&lt;=200,0,IF(AND(O30&gt;=201,O30&lt;=400),O30-200,200))*J137,0)+ROUNDDOWN(IF(O30&lt;=400,0,IF(AND(O30&gt;=401,O30&lt;=1000),O30-400,600))*J138,0)+ROUNDDOWN(IF(O30&lt;=1000,0,O30-1000)*J139,0))*$J$11,0))</f>
        <v>15980</v>
      </c>
      <c r="J30" s="59">
        <f>J29+(+G131+ROUNDDOWN(IF(O30&lt;K131,0,IF(AND(O30&gt;=K131,O30&lt;=L131),O30-(K131-1),(L131-K131+1)))*M131,0)+ROUNDDOWN(IF(O30&lt;K132,0,IF(AND(O30&gt;=K132,O30&lt;=L132),O30-(K132-1),(L132-K132+1)))*M132,0)+ROUNDDOWN(IF(O30&lt;K133,0,IF(AND(O30&gt;=K133,O30&lt;=L133),O30-(K133-1),(L133-K133+1)))*M133,0)+ROUNDDOWN(IF(O30&lt;K134,0,IF(AND(O30&gt;=K134,O30&lt;=L134),O30-(K134-1),(L134-K134+1)))*M134,0)+ROUNDDOWN(IF(O30&lt;K135,0,IF(AND(O30&gt;=K135,O30&lt;=L135),O30-(K135-1),(L135-K135+1)))*M135,0)+ROUNDDOWN(IF(O30&lt;K136,0,IF(AND(O30&gt;=K136,O30&lt;=L136),O30-(K136-1),(L136-K136+1)))*M136,0)+ROUNDDOWN(IF(O30&lt;K137,0,IF(AND(O30&gt;=K137,O30&lt;=L137),O30-(K137-1),(L137-K137+1)))*M137,0)+ROUNDDOWN(IF(O30&lt;K138,0,IF(AND(O30&gt;=K138,O30&lt;=L138),O30-(K138-1),(L138-K138+1)))*M138,0)+ROUNDDOWN(IF(O30&lt;K139,0,O30-(K139-1))*M139,0))+(ROUNDDOWN((+G131+ROUNDDOWN(IF(O30&lt;K131,0,IF(AND(O30&gt;=K131,O30&lt;=L131),O30-(K131-1),(L131-K131+1)))*M131,0)+ROUNDDOWN(IF(O30&lt;K132,0,IF(AND(O30&gt;=K132,O30&lt;=L132),O30-(K132-1),(L132-K132+1)))*M132,0)+ROUNDDOWN(IF(O30&lt;K133,0,IF(AND(O30&gt;=K133,O30&lt;=L133),O30-(K133-1),(L133-K133+1)))*M133,0)+ROUNDDOWN(IF(O30&lt;K134,0,IF(AND(O30&gt;=K134,O30&lt;=L134),O30-(K134-1),(L134-K134+1)))*M134,0)+ROUNDDOWN(IF(O30&lt;K135,0,IF(AND(O30&gt;=K135,O30&lt;=L135),O30-(K135-1),(L135-K135+1)))*M135,0)+ROUNDDOWN(IF(O30&lt;K136,0,IF(AND(O30&gt;=K136,O30&lt;=L136),O30-(K136-1),(L136-K136+1)))*M136,0)+ROUNDDOWN(IF(O30&lt;K137,0,IF(AND(O30&gt;=K137,O30&lt;=L137),O30-(K137-1),(L137-K137+1)))*M137,0)+ROUNDDOWN(IF(O30&lt;K138,0,IF(AND(O30&gt;=K138,O30&lt;=L138),O30-(K138-1),(L138-K138+1)))*M138,0)+ROUNDDOWN(IF(O30&lt;K139,0,O30-(K139-1))*M139,0))*$J$11,0))</f>
        <v>21538</v>
      </c>
      <c r="K30" s="109">
        <f t="shared" si="3"/>
        <v>5558</v>
      </c>
      <c r="L30" s="111">
        <f t="shared" si="4"/>
        <v>0.34780976220275339</v>
      </c>
      <c r="M30" s="49"/>
      <c r="N30" s="49"/>
      <c r="O30" s="31">
        <v>74</v>
      </c>
      <c r="P30" s="31">
        <v>20</v>
      </c>
    </row>
    <row r="31" spans="2:16" ht="30" customHeight="1" x14ac:dyDescent="0.4">
      <c r="B31" s="31"/>
      <c r="C31" s="35"/>
      <c r="D31" s="47"/>
      <c r="E31" s="47"/>
      <c r="F31" s="35"/>
      <c r="G31" s="35"/>
      <c r="H31" s="35"/>
      <c r="I31" s="58">
        <f>(VLOOKUP($P$31,$E$119:$G$126,2,FALSE)+ROUNDDOWN(IF(O31&lt;=20,0,IF(AND(O31&gt;=21,O31&lt;=40),O31-20,20))*J121,0)+ROUNDDOWN(IF(O31&lt;=40,0,IF(AND(O31&gt;=41,O31&lt;=60),O31-40,20))*J122,0)+ROUNDDOWN(IF(O31&lt;=60,0,IF(AND(O31&gt;=61,O31&lt;=100),O31-60,40))*J123,0)+ROUNDDOWN(IF(O31&lt;=100,0,IF(AND(O31&gt;=101,O31&lt;=200),O31-100,100))*J124,0)+ROUNDDOWN(IF(O31&lt;=200,0,O31-200)*J125,0))+(ROUNDDOWN((VLOOKUP($P$31,$E$119:$G$126,2,FALSE)+ROUNDDOWN(IF(O31&lt;=20,0,IF(AND(O31&gt;=21,O31&lt;=40),O31-20,20))*J121,0)+ROUNDDOWN(IF(O31&lt;=40,0,IF(AND(O31&gt;=41,O31&lt;=60),O31-40,20))*J122,0)+ROUNDDOWN(IF(O31&lt;=60,0,IF(AND(O31&gt;=61,O31&lt;=100),O31-60,40))*J123,0)+ROUNDDOWN(IF(O31&lt;=100,0,IF(AND(O31&gt;=101,O31&lt;=200),O31-100,100))*J124,0)+ROUNDDOWN(IF(O31&lt;=200,0,O31-200)*J125,0))*$J$11,0))</f>
        <v>9631</v>
      </c>
      <c r="J31" s="59">
        <f>(VLOOKUP(P31,$E$119:$G$126,3,FALSE)+ROUNDDOWN(IF(O31&lt;K119,0,IF(AND(O31&gt;=K119,O31&lt;=L119),O31-(K119-1),(L119-K119+1)))*M119,0)+ROUNDDOWN(IF(O31&lt;K120,0,IF(AND(O31&gt;=K120,O31&lt;=L120),O31-(K120-1),(L120-K120+1)))*M120,0)+ROUNDDOWN(IF(O31&lt;K121,0,IF(AND(O31&gt;=K121,O31&lt;=L121),O31-(K121-1),(L121-K121+1)))*M121,0)+ROUNDDOWN(IF(O31&lt;K122,0,IF(AND(O31&gt;=K122,O31&lt;=L122),O31-(K122-1),(L122-K122+1)))*M122,0)+ROUNDDOWN(IF(O31&lt;K123,0,IF(AND(O31&gt;=K123,O31&lt;=L123),O31-(K123-1),(L123-K123+1)))*M123,0)+ROUNDDOWN(IF(O31&lt;K124,0,IF(AND(O31&gt;=K124,O31&lt;=L124),O31-(K124-1),(L124-K124+1)))*M124,0)+ROUNDDOWN(IF(O31&lt;K125,0,O31-(K125-1))*M125,0))+(ROUNDDOWN((VLOOKUP(P31,$E$119:$G$126,3,FALSE)+ROUNDDOWN(IF(O31&lt;K119,0,IF(AND(O31&gt;=K119,O31&lt;=L119),O31-(K119-1),(L119-K119+1)))*M119,0)+ROUNDDOWN(IF(O31&lt;K120,0,IF(AND(O31&gt;=K120,O31&lt;=L120),O31-(K120-1),(L120-K120+1)))*M120,0)+ROUNDDOWN(IF(O31&lt;K121,0,IF(AND(O31&gt;=K121,O31&lt;=L121),O31-(K121-1),(L121-K121+1)))*M121,0)+ROUNDDOWN(IF(O31&lt;K122,0,IF(AND(O31&gt;=K122,O31&lt;=L122),O31-(K122-1),(L122-K122+1)))*M122,0)+ROUNDDOWN(IF(O31&lt;K123,0,IF(AND(O31&gt;=K123,O31&lt;=L123),O31-(K123-1),(L123-K123+1)))*M123,0)+ROUNDDOWN(IF(O31&lt;K124,0,IF(AND(O31&gt;=K124,O31&lt;=L124),O31-(K124-1),(L124-K124+1)))*M124,0)+ROUNDDOWN(IF(O31&lt;K125,0,O31-(K125-1))*M125,0))*J11,0))</f>
        <v>13024</v>
      </c>
      <c r="K31" s="109">
        <f t="shared" si="3"/>
        <v>3393</v>
      </c>
      <c r="L31" s="111">
        <f t="shared" si="4"/>
        <v>0.35229986501920885</v>
      </c>
      <c r="M31" s="35"/>
      <c r="N31" s="35"/>
      <c r="O31" s="31">
        <v>74</v>
      </c>
      <c r="P31" s="31">
        <v>13</v>
      </c>
    </row>
    <row r="32" spans="2:16" ht="30" customHeight="1" x14ac:dyDescent="0.4">
      <c r="B32" s="31"/>
      <c r="C32" s="35"/>
      <c r="D32" s="47"/>
      <c r="E32" s="47"/>
      <c r="F32" s="35"/>
      <c r="G32" s="35"/>
      <c r="H32" s="35"/>
      <c r="I32" s="58">
        <f>I31+(+F131+ROUNDDOWN(IF(O32&lt;=20,0,IF(AND(O32&gt;=21,O32&lt;=40),O32-20,20))*J133,0)+ROUNDDOWN(IF(O32&lt;=40,0,IF(AND(O32&gt;=41,O32&lt;=60),O32-40,20))*J134,0)+ROUNDDOWN(IF(O32&lt;=60,0,IF(AND(O32&gt;=61,O32&lt;=100),O32-60,40))*J135,0)+ROUNDDOWN(IF(O32&lt;=100,0,IF(AND(O32&gt;=101,O32&lt;=200),O32-100,100))*J136,0)+ROUNDDOWN(IF(O32&lt;=200,0,IF(AND(O32&gt;=201,O32&lt;=400),O32-200,200))*J137,0)+ROUNDDOWN(IF(O32&lt;=400,0,IF(AND(O32&gt;=401,O32&lt;=1000),O32-400,600))*J138,0)+ROUNDDOWN(IF(O32&lt;=1000,0,O32-1000)*J139,0))+(ROUNDDOWN((+F131+ROUNDDOWN(IF(O32&lt;=20,0,IF(AND(O32&gt;=21,O32&lt;=40),O32-20,20))*J133,0)+ROUNDDOWN(IF(O32&lt;=40,0,IF(AND(O32&gt;=41,O32&lt;=60),O32-40,20))*J134,0)+ROUNDDOWN(IF(O32&lt;=60,0,IF(AND(O32&gt;=61,O32&lt;=100),O32-60,40))*J135,0)+ROUNDDOWN(IF(O32&lt;=100,0,IF(AND(O32&gt;=101,O32&lt;=200),O32-100,100))*J136,0)+ROUNDDOWN(IF(O32&lt;=200,0,IF(AND(O32&gt;=201,O32&lt;=400),O32-200,200))*J137,0)+ROUNDDOWN(IF(O32&lt;=400,0,IF(AND(O32&gt;=401,O32&lt;=1000),O32-400,600))*J138,0)+ROUNDDOWN(IF(O32&lt;=1000,0,O32-1000)*J139,0))*$J$11,0))</f>
        <v>15857</v>
      </c>
      <c r="J32" s="59">
        <f>J31+(+G131+ROUNDDOWN(IF(O32&lt;K131,0,IF(AND(O32&gt;=K131,O32&lt;=L131),O32-(K131-1),(L131-K131+1)))*M131,0)+ROUNDDOWN(IF(O32&lt;K132,0,IF(AND(O32&gt;=K132,O32&lt;=L132),O32-(K132-1),(L132-K132+1)))*M132,0)+ROUNDDOWN(IF(O32&lt;K133,0,IF(AND(O32&gt;=K133,O32&lt;=L133),O32-(K133-1),(L133-K133+1)))*M133,0)+ROUNDDOWN(IF(O32&lt;K134,0,IF(AND(O32&gt;=K134,O32&lt;=L134),O32-(K134-1),(L134-K134+1)))*M134,0)+ROUNDDOWN(IF(O32&lt;K135,0,IF(AND(O32&gt;=K135,O32&lt;=L135),O32-(K135-1),(L135-K135+1)))*M135,0)+ROUNDDOWN(IF(O32&lt;K136,0,IF(AND(O32&gt;=K136,O32&lt;=L136),O32-(K136-1),(L136-K136+1)))*M136,0)+ROUNDDOWN(IF(O32&lt;K137,0,IF(AND(O32&gt;=K137,O32&lt;=L137),O32-(K137-1),(L137-K137+1)))*M137,0)+ROUNDDOWN(IF(O32&lt;K138,0,IF(AND(O32&gt;=K138,O32&lt;=L138),O32-(K138-1),(L138-K138+1)))*M138,0)+ROUNDDOWN(IF(O32&lt;K139,0,O32-(K139-1))*M139,0))+(ROUNDDOWN((+G131+ROUNDDOWN(IF(O32&lt;K131,0,IF(AND(O32&gt;=K131,O32&lt;=L131),O32-(K131-1),(L131-K131+1)))*M131,0)+ROUNDDOWN(IF(O32&lt;K132,0,IF(AND(O32&gt;=K132,O32&lt;=L132),O32-(K132-1),(L132-K132+1)))*M132,0)+ROUNDDOWN(IF(O32&lt;K133,0,IF(AND(O32&gt;=K133,O32&lt;=L133),O32-(K133-1),(L133-K133+1)))*M133,0)+ROUNDDOWN(IF(O32&lt;K134,0,IF(AND(O32&gt;=K134,O32&lt;=L134),O32-(K134-1),(L134-K134+1)))*M134,0)+ROUNDDOWN(IF(O32&lt;K135,0,IF(AND(O32&gt;=K135,O32&lt;=L135),O32-(K135-1),(L135-K135+1)))*M135,0)+ROUNDDOWN(IF(O32&lt;K136,0,IF(AND(O32&gt;=K136,O32&lt;=L136),O32-(K136-1),(L136-K136+1)))*M136,0)+ROUNDDOWN(IF(O32&lt;K137,0,IF(AND(O32&gt;=K137,O32&lt;=L137),O32-(K137-1),(L137-K137+1)))*M137,0)+ROUNDDOWN(IF(O32&lt;K138,0,IF(AND(O32&gt;=K138,O32&lt;=L138),O32-(K138-1),(L138-K138+1)))*M138,0)+ROUNDDOWN(IF(O32&lt;K139,0,O32-(K139-1))*M139,0))*$J$11,0))</f>
        <v>21406</v>
      </c>
      <c r="K32" s="109">
        <f t="shared" si="3"/>
        <v>5549</v>
      </c>
      <c r="L32" s="111">
        <f t="shared" si="4"/>
        <v>0.34994008955035638</v>
      </c>
      <c r="M32" s="35"/>
      <c r="N32" s="35"/>
      <c r="O32" s="31">
        <v>74</v>
      </c>
      <c r="P32" s="31">
        <v>25</v>
      </c>
    </row>
    <row r="33" spans="1:21" ht="30" customHeight="1" x14ac:dyDescent="0.4">
      <c r="B33" s="31"/>
      <c r="C33" s="35"/>
      <c r="D33" s="35"/>
      <c r="E33" s="35"/>
      <c r="F33" s="35"/>
      <c r="G33" s="48"/>
      <c r="H33" s="48"/>
      <c r="I33" s="58">
        <f>(VLOOKUP($P$33,$E$119:$G$126,2,FALSE)+ROUNDDOWN(IF(O33&lt;=20,0,IF(AND(O33&gt;=21,O33&lt;=40),O33-20,20))*J121,0)+ROUNDDOWN(IF(O33&lt;=40,0,IF(AND(O33&gt;=41,O33&lt;=60),O33-40,20))*J122,0)+ROUNDDOWN(IF(O33&lt;=60,0,IF(AND(O33&gt;=61,O33&lt;=100),O33-60,40))*J123,0)+ROUNDDOWN(IF(O33&lt;=100,0,IF(AND(O33&gt;=101,O33&lt;=200),O33-100,100))*J124,0)+ROUNDDOWN(IF(O33&lt;=200,0,O33-200)*J125,0))+(ROUNDDOWN((VLOOKUP($P$33,$E$119:$G$126,2,FALSE)+ROUNDDOWN(IF(O33&lt;=20,0,IF(AND(O33&gt;=21,O33&lt;=40),O33-20,20))*J121,0)+ROUNDDOWN(IF(O33&lt;=40,0,IF(AND(O33&gt;=41,O33&lt;=60),O33-40,20))*J122,0)+ROUNDDOWN(IF(O33&lt;=60,0,IF(AND(O33&gt;=61,O33&lt;=100),O33-60,40))*J123,0)+ROUNDDOWN(IF(O33&lt;=100,0,IF(AND(O33&gt;=101,O33&lt;=200),O33-100,100))*J124,0)+ROUNDDOWN(IF(O33&lt;=200,0,O33-200)*J125,0))*$J$11,0))</f>
        <v>9631</v>
      </c>
      <c r="J33" s="59">
        <f>(VLOOKUP(P33,$E$119:$G$126,3,FALSE)+ROUNDDOWN(IF(O33&lt;K119,0,IF(AND(O33&gt;=K119,O33&lt;=L119),O33-(K119-1),(L119-K119+1)))*M119,0)+ROUNDDOWN(IF(O33&lt;K120,0,IF(AND(O33&gt;=K120,O33&lt;=L120),O33-(K120-1),(L120-K120+1)))*M120,0)+ROUNDDOWN(IF(O33&lt;K121,0,IF(AND(O33&gt;=K121,O33&lt;=L121),O33-(K121-1),(L121-K121+1)))*M121,0)+ROUNDDOWN(IF(O33&lt;K122,0,IF(AND(O33&gt;=K122,O33&lt;=L122),O33-(K122-1),(L122-K122+1)))*M122,0)+ROUNDDOWN(IF(O33&lt;K123,0,IF(AND(O33&gt;=K123,O33&lt;=L123),O33-(K123-1),(L123-K123+1)))*M123,0)+ROUNDDOWN(IF(O33&lt;K124,0,IF(AND(O33&gt;=K124,O33&lt;=L124),O33-(K124-1),(L124-K124+1)))*M124,0)+ROUNDDOWN(IF(O33&lt;K125,0,O33-(K125-1))*M125,0))+(ROUNDDOWN((VLOOKUP(P33,$E$119:$G$126,3,FALSE)+ROUNDDOWN(IF(O33&lt;K119,0,IF(AND(O33&gt;=K119,O33&lt;=L119),O33-(K119-1),(L119-K119+1)))*M119,0)+ROUNDDOWN(IF(O33&lt;K120,0,IF(AND(O33&gt;=K120,O33&lt;=L120),O33-(K120-1),(L120-K120+1)))*M120,0)+ROUNDDOWN(IF(O33&lt;K121,0,IF(AND(O33&gt;=K121,O33&lt;=L121),O33-(K121-1),(L121-K121+1)))*M121,0)+ROUNDDOWN(IF(O33&lt;K122,0,IF(AND(O33&gt;=K122,O33&lt;=L122),O33-(K122-1),(L122-K122+1)))*M122,0)+ROUNDDOWN(IF(O33&lt;K123,0,IF(AND(O33&gt;=K123,O33&lt;=L123),O33-(K123-1),(L123-K123+1)))*M123,0)+ROUNDDOWN(IF(O33&lt;K124,0,IF(AND(O33&gt;=K124,O33&lt;=L124),O33-(K124-1),(L124-K124+1)))*M124,0)+ROUNDDOWN(IF(O33&lt;K125,0,O33-(K125-1))*M125,0))*J11,0))</f>
        <v>13024</v>
      </c>
      <c r="K33" s="109">
        <f t="shared" si="3"/>
        <v>3393</v>
      </c>
      <c r="L33" s="111">
        <f t="shared" si="4"/>
        <v>0.35229986501920885</v>
      </c>
      <c r="M33" s="49"/>
      <c r="N33" s="49"/>
      <c r="O33" s="31">
        <v>74</v>
      </c>
      <c r="P33" s="31">
        <v>13</v>
      </c>
    </row>
    <row r="34" spans="1:21" ht="30" customHeight="1" x14ac:dyDescent="0.4">
      <c r="B34" s="31"/>
      <c r="C34" s="35"/>
      <c r="D34" s="35"/>
      <c r="E34" s="35"/>
      <c r="F34" s="35"/>
      <c r="G34" s="48"/>
      <c r="H34" s="48"/>
      <c r="I34" s="58">
        <f>I33+(+F131+ROUNDDOWN(IF(O34&lt;=20,0,IF(AND(O34&gt;=21,O34&lt;=40),O34-20,20))*J133,0)+ROUNDDOWN(IF(O34&lt;=40,0,IF(AND(O34&gt;=41,O34&lt;=60),O34-40,20))*J134,0)+ROUNDDOWN(IF(O34&lt;=60,0,IF(AND(O34&gt;=61,O34&lt;=100),O34-60,40))*J135,0)+ROUNDDOWN(IF(O34&lt;=100,0,IF(AND(O34&gt;=101,O34&lt;=200),O34-100,100))*J136,0)+ROUNDDOWN(IF(O34&lt;=200,0,IF(AND(O34&gt;=201,O34&lt;=400),O34-200,200))*J137,0)+ROUNDDOWN(IF(O34&lt;=400,0,IF(AND(O34&gt;=401,O34&lt;=1000),O34-400,600))*J138,0)+ROUNDDOWN(IF(O34&lt;=1000,0,O34-1000)*J139,0))+(ROUNDDOWN((+F131+ROUNDDOWN(IF(O34&lt;=20,0,IF(AND(O34&gt;=21,O34&lt;=40),O34-20,20))*J133,0)+ROUNDDOWN(IF(O34&lt;=40,0,IF(AND(O34&gt;=41,O34&lt;=60),O34-40,20))*J134,0)+ROUNDDOWN(IF(O34&lt;=60,0,IF(AND(O34&gt;=61,O34&lt;=100),O34-60,40))*J135,0)+ROUNDDOWN(IF(O34&lt;=100,0,IF(AND(O34&gt;=101,O34&lt;=200),O34-100,100))*J136,0)+ROUNDDOWN(IF(O34&lt;=200,0,IF(AND(O34&gt;=201,O34&lt;=400),O34-200,200))*J137,0)+ROUNDDOWN(IF(O34&lt;=400,0,IF(AND(O34&gt;=401,O34&lt;=1000),O34-400,600))*J138,0)+ROUNDDOWN(IF(O34&lt;=1000,0,O34-1000)*J139,0))*$J$11,0))</f>
        <v>15857</v>
      </c>
      <c r="J34" s="59">
        <f>J33+(+G131+ROUNDDOWN(IF(O34&lt;K131,0,IF(AND(O34&gt;=K131,O34&lt;=L131),O34-(K131-1),(L131-K131+1)))*M131,0)+ROUNDDOWN(IF(O34&lt;K132,0,IF(AND(O34&gt;=K132,O34&lt;=L132),O34-(K132-1),(L132-K132+1)))*M132,0)+ROUNDDOWN(IF(O34&lt;K133,0,IF(AND(O34&gt;=K133,O34&lt;=L133),O34-(K133-1),(L133-K133+1)))*M133,0)+ROUNDDOWN(IF(O34&lt;K134,0,IF(AND(O34&gt;=K134,O34&lt;=L134),O34-(K134-1),(L134-K134+1)))*M134,0)+ROUNDDOWN(IF(O34&lt;K135,0,IF(AND(O34&gt;=K135,O34&lt;=L135),O34-(K135-1),(L135-K135+1)))*M135,0)+ROUNDDOWN(IF(O34&lt;K136,0,IF(AND(O34&gt;=K136,O34&lt;=L136),O34-(K136-1),(L136-K136+1)))*M136,0)+ROUNDDOWN(IF(O34&lt;K137,0,IF(AND(O34&gt;=K137,O34&lt;=L137),O34-(K137-1),(L137-K137+1)))*M137,0)+ROUNDDOWN(IF(O34&lt;K138,0,IF(AND(O34&gt;=K138,O34&lt;=L138),O34-(K138-1),(L138-K138+1)))*M138,0)+ROUNDDOWN(IF(O34&lt;K139,0,O34-(K139-1))*M139,0))+(ROUNDDOWN((+G131+ROUNDDOWN(IF(O34&lt;K131,0,IF(AND(O34&gt;=K131,O34&lt;=L131),O34-(K131-1),(L131-K131+1)))*M131,0)+ROUNDDOWN(IF(O34&lt;K132,0,IF(AND(O34&gt;=K132,O34&lt;=L132),O34-(K132-1),(L132-K132+1)))*M132,0)+ROUNDDOWN(IF(O34&lt;K133,0,IF(AND(O34&gt;=K133,O34&lt;=L133),O34-(K133-1),(L133-K133+1)))*M133,0)+ROUNDDOWN(IF(O34&lt;K134,0,IF(AND(O34&gt;=K134,O34&lt;=L134),O34-(K134-1),(L134-K134+1)))*M134,0)+ROUNDDOWN(IF(O34&lt;K135,0,IF(AND(O34&gt;=K135,O34&lt;=L135),O34-(K135-1),(L135-K135+1)))*M135,0)+ROUNDDOWN(IF(O34&lt;K136,0,IF(AND(O34&gt;=K136,O34&lt;=L136),O34-(K136-1),(L136-K136+1)))*M136,0)+ROUNDDOWN(IF(O34&lt;K137,0,IF(AND(O34&gt;=K137,O34&lt;=L137),O34-(K137-1),(L137-K137+1)))*M137,0)+ROUNDDOWN(IF(O34&lt;K138,0,IF(AND(O34&gt;=K138,O34&lt;=L138),O34-(K138-1),(L138-K138+1)))*M138,0)+ROUNDDOWN(IF(O34&lt;K139,0,O34-(K139-1))*M139,0))*$J$11,0))</f>
        <v>21406</v>
      </c>
      <c r="K34" s="109">
        <f t="shared" si="3"/>
        <v>5549</v>
      </c>
      <c r="L34" s="111">
        <f t="shared" si="4"/>
        <v>0.34994008955035638</v>
      </c>
      <c r="M34" s="49"/>
      <c r="N34" s="49"/>
      <c r="O34" s="31">
        <v>74</v>
      </c>
      <c r="P34" s="31">
        <v>13</v>
      </c>
    </row>
    <row r="35" spans="1:21" ht="30" customHeight="1" x14ac:dyDescent="0.4">
      <c r="B35" s="31"/>
      <c r="C35" s="35"/>
      <c r="D35" s="35"/>
      <c r="E35" s="35"/>
      <c r="F35" s="35"/>
      <c r="G35" s="48"/>
      <c r="H35" s="48"/>
      <c r="I35" s="58">
        <f>(VLOOKUP($P$35,$E$119:$G$126,2,FALSE)+ROUNDDOWN(IF(O35&lt;=20,0,IF(AND(O35&gt;=21,O35&lt;=40),O35-20,20))*J121,0)+ROUNDDOWN(IF(O35&lt;=40,0,IF(AND(O35&gt;=41,O35&lt;=60),O35-40,20))*J122,0)+ROUNDDOWN(IF(O35&lt;=60,0,IF(AND(O35&gt;=61,O35&lt;=100),O35-60,40))*J123,0)+ROUNDDOWN(IF(O35&lt;=100,0,IF(AND(O35&gt;=101,O35&lt;=200),O35-100,100))*J124,0)+ROUNDDOWN(IF(O35&lt;=200,0,O35-200)*J125,0))+(ROUNDDOWN((VLOOKUP($P$35,$E$119:$G$126,2,FALSE)+ROUNDDOWN(IF(O35&lt;=20,0,IF(AND(O35&gt;=21,O35&lt;=40),O35-20,20))*J121,0)+ROUNDDOWN(IF(O35&lt;=40,0,IF(AND(O35&gt;=41,O35&lt;=60),O35-40,20))*J122,0)+ROUNDDOWN(IF(O35&lt;=60,0,IF(AND(O35&gt;=61,O35&lt;=100),O35-60,40))*J123,0)+ROUNDDOWN(IF(O35&lt;=100,0,IF(AND(O35&gt;=101,O35&lt;=200),O35-100,100))*J124,0)+ROUNDDOWN(IF(O35&lt;=200,0,O35-200)*J125,0))*$J$11,0))</f>
        <v>134928</v>
      </c>
      <c r="J35" s="59">
        <f>(VLOOKUP(P35,$E$119:$G$126,3,FALSE)+ROUNDDOWN(IF(O35&lt;K119,0,IF(AND(O35&gt;=K119,O35&lt;=L119),O35-(K119-1),(L119-K119+1)))*M119,0)+ROUNDDOWN(IF(O35&lt;K120,0,IF(AND(O35&gt;=K120,O35&lt;=L120),O35-(K120-1),(L120-K120+1)))*M120,0)+ROUNDDOWN(IF(O35&lt;K121,0,IF(AND(O35&gt;=K121,O35&lt;=L121),O35-(K121-1),(L121-K121+1)))*M121,0)+ROUNDDOWN(IF(O35&lt;K122,0,IF(AND(O35&gt;=K122,O35&lt;=L122),O35-(K122-1),(L122-K122+1)))*M122,0)+ROUNDDOWN(IF(O35&lt;K123,0,IF(AND(O35&gt;=K123,O35&lt;=L123),O35-(K123-1),(L123-K123+1)))*M123,0)+ROUNDDOWN(IF(O35&lt;K124,0,IF(AND(O35&gt;=K124,O35&lt;=L124),O35-(K124-1),(L124-K124+1)))*M124,0)+ROUNDDOWN(IF(O35&lt;K125,0,O35-(K125-1))*M125,0))+(ROUNDDOWN((VLOOKUP(P35,$E$119:$G$126,3,FALSE)+ROUNDDOWN(IF(O35&lt;K119,0,IF(AND(O35&gt;=K119,O35&lt;=L119),O35-(K119-1),(L119-K119+1)))*M119,0)+ROUNDDOWN(IF(O35&lt;K120,0,IF(AND(O35&gt;=K120,O35&lt;=L120),O35-(K120-1),(L120-K120+1)))*M120,0)+ROUNDDOWN(IF(O35&lt;K121,0,IF(AND(O35&gt;=K121,O35&lt;=L121),O35-(K121-1),(L121-K121+1)))*M121,0)+ROUNDDOWN(IF(O35&lt;K122,0,IF(AND(O35&gt;=K122,O35&lt;=L122),O35-(K122-1),(L122-K122+1)))*M122,0)+ROUNDDOWN(IF(O35&lt;K123,0,IF(AND(O35&gt;=K123,O35&lt;=L123),O35-(K123-1),(L123-K123+1)))*M123,0)+ROUNDDOWN(IF(O35&lt;K124,0,IF(AND(O35&gt;=K124,O35&lt;=L124),O35-(K124-1),(L124-K124+1)))*M124,0)+ROUNDDOWN(IF(O35&lt;K125,0,O35-(K125-1))*M125,0))*J11,0))</f>
        <v>172260</v>
      </c>
      <c r="K35" s="109">
        <f t="shared" si="3"/>
        <v>37332</v>
      </c>
      <c r="L35" s="111">
        <f t="shared" si="4"/>
        <v>0.27668089647812177</v>
      </c>
      <c r="M35" s="49"/>
      <c r="N35" s="49"/>
      <c r="O35" s="31">
        <v>600</v>
      </c>
      <c r="P35" s="31">
        <v>30</v>
      </c>
    </row>
    <row r="36" spans="1:21" ht="30" customHeight="1" x14ac:dyDescent="0.4">
      <c r="B36" s="31"/>
      <c r="C36" s="35"/>
      <c r="D36" s="35"/>
      <c r="E36" s="35"/>
      <c r="F36" s="35"/>
      <c r="G36" s="48"/>
      <c r="H36" s="48"/>
      <c r="I36" s="58">
        <f>I35+(+F131+ROUNDDOWN(IF(O36&lt;=20,0,IF(AND(O36&gt;=21,O36&lt;=40),O36-20,20))*J133,0)+ROUNDDOWN(IF(O36&lt;=40,0,IF(AND(O36&gt;=41,O36&lt;=60),O36-40,20))*J134,0)+ROUNDDOWN(IF(O36&lt;=60,0,IF(AND(O36&gt;=61,O36&lt;=100),O36-60,40))*J135,0)+ROUNDDOWN(IF(O36&lt;=100,0,IF(AND(O36&gt;=101,O36&lt;=200),O36-100,100))*J136,0)+ROUNDDOWN(IF(O36&lt;=200,0,IF(AND(O36&gt;=201,O36&lt;=400),O36-200,200))*J137,0)+ROUNDDOWN(IF(O36&lt;=400,0,IF(AND(O36&gt;=401,O36&lt;=1000),O36-400,600))*J138,0)+ROUNDDOWN(IF(O36&lt;=1000,0,O36-1000)*J139,0))+(ROUNDDOWN((+F131+ROUNDDOWN(IF(O36&lt;=20,0,IF(AND(O36&gt;=21,O36&lt;=40),O36-20,20))*J133,0)+ROUNDDOWN(IF(O36&lt;=40,0,IF(AND(O36&gt;=41,O36&lt;=60),O36-40,20))*J134,0)+ROUNDDOWN(IF(O36&lt;=60,0,IF(AND(O36&gt;=61,O36&lt;=100),O36-60,40))*J135,0)+ROUNDDOWN(IF(O36&lt;=100,0,IF(AND(O36&gt;=101,O36&lt;=200),O36-100,100))*J136,0)+ROUNDDOWN(IF(O36&lt;=200,0,IF(AND(O36&gt;=201,O36&lt;=400),O36-200,200))*J137,0)+ROUNDDOWN(IF(O36&lt;=400,0,IF(AND(O36&gt;=401,O36&lt;=1000),O36-400,600))*J138,0)+ROUNDDOWN(IF(O36&lt;=1000,0,O36-1000)*J139,0))*$J$11,0))</f>
        <v>207528</v>
      </c>
      <c r="J36" s="59">
        <f>J35+(+G131+ROUNDDOWN(IF(O36&lt;K131,0,IF(AND(O36&gt;=K131,O36&lt;=L131),O36-(K131-1),(L131-K131+1)))*M131,0)+ROUNDDOWN(IF(O36&lt;K132,0,IF(AND(O36&gt;=K132,O36&lt;=L132),O36-(K132-1),(L132-K132+1)))*M132,0)+ROUNDDOWN(IF(O36&lt;K133,0,IF(AND(O36&gt;=K133,O36&lt;=L133),O36-(K133-1),(L133-K133+1)))*M133,0)+ROUNDDOWN(IF(O36&lt;K134,0,IF(AND(O36&gt;=K134,O36&lt;=L134),O36-(K134-1),(L134-K134+1)))*M134,0)+ROUNDDOWN(IF(O36&lt;K135,0,IF(AND(O36&gt;=K135,O36&lt;=L135),O36-(K135-1),(L135-K135+1)))*M135,0)+ROUNDDOWN(IF(O36&lt;K136,0,IF(AND(O36&gt;=K136,O36&lt;=L136),O36-(K136-1),(L136-K136+1)))*M136,0)+ROUNDDOWN(IF(O36&lt;K137,0,IF(AND(O36&gt;=K137,O36&lt;=L137),O36-(K137-1),(L137-K137+1)))*M137,0)+ROUNDDOWN(IF(O36&lt;K138,0,IF(AND(O36&gt;=K138,O36&lt;=L138),O36-(K138-1),(L138-K138+1)))*M138,0)+ROUNDDOWN(IF(O36&lt;K139,0,O36-(K139-1))*M139,0))+(ROUNDDOWN((+G131+ROUNDDOWN(IF(O36&lt;K131,0,IF(AND(O36&gt;=K131,O36&lt;=L131),O36-(K131-1),(L131-K131+1)))*M131,0)+ROUNDDOWN(IF(O36&lt;K132,0,IF(AND(O36&gt;=K132,O36&lt;=L132),O36-(K132-1),(L132-K132+1)))*M132,0)+ROUNDDOWN(IF(O36&lt;K133,0,IF(AND(O36&gt;=K133,O36&lt;=L133),O36-(K133-1),(L133-K133+1)))*M133,0)+ROUNDDOWN(IF(O36&lt;K134,0,IF(AND(O36&gt;=K134,O36&lt;=L134),O36-(K134-1),(L134-K134+1)))*M134,0)+ROUNDDOWN(IF(O36&lt;K135,0,IF(AND(O36&gt;=K135,O36&lt;=L135),O36-(K135-1),(L135-K135+1)))*M135,0)+ROUNDDOWN(IF(O36&lt;K136,0,IF(AND(O36&gt;=K136,O36&lt;=L136),O36-(K136-1),(L136-K136+1)))*M136,0)+ROUNDDOWN(IF(O36&lt;K137,0,IF(AND(O36&gt;=K137,O36&lt;=L137),O36-(K137-1),(L137-K137+1)))*M137,0)+ROUNDDOWN(IF(O36&lt;K138,0,IF(AND(O36&gt;=K138,O36&lt;=L138),O36-(K138-1),(L138-K138+1)))*M138,0)+ROUNDDOWN(IF(O36&lt;K139,0,O36-(K139-1))*M139,0))*$J$11,0))</f>
        <v>270974</v>
      </c>
      <c r="K36" s="109">
        <f t="shared" si="3"/>
        <v>63446</v>
      </c>
      <c r="L36" s="111">
        <f t="shared" si="4"/>
        <v>0.30572260128753714</v>
      </c>
      <c r="M36" s="49"/>
      <c r="N36" s="49"/>
      <c r="O36" s="31">
        <v>600</v>
      </c>
      <c r="P36" s="31">
        <v>30</v>
      </c>
    </row>
    <row r="37" spans="1:21" ht="30" customHeight="1" x14ac:dyDescent="0.4">
      <c r="B37" s="31"/>
      <c r="C37" s="35"/>
      <c r="D37" s="35"/>
      <c r="E37" s="35"/>
      <c r="F37" s="35"/>
      <c r="G37" s="48"/>
      <c r="H37" s="48"/>
      <c r="I37" s="58">
        <f>(VLOOKUP($P$37,$E$119:$G$126,2,FALSE)+ROUNDDOWN(IF(O37&lt;=20,0,IF(AND(O37&gt;=21,O37&lt;=40),O37-20,20))*J121,0)+ROUNDDOWN(IF(O37&lt;=40,0,IF(AND(O37&gt;=41,O37&lt;=60),O37-40,20))*J122,0)+ROUNDDOWN(IF(O37&lt;=60,0,IF(AND(O37&gt;=61,O37&lt;=100),O37-60,40))*J123,0)+ROUNDDOWN(IF(O37&lt;=100,0,IF(AND(O37&gt;=101,O37&lt;=200),O37-100,100))*J124,0)+ROUNDDOWN(IF(O37&lt;=200,0,O37-200)*J125,0))+(ROUNDDOWN((VLOOKUP($P$37,$E$119:$G$126,2,FALSE)+ROUNDDOWN(IF(O37&lt;=20,0,IF(AND(O37&gt;=21,O37&lt;=40),O37-20,20))*J121,0)+ROUNDDOWN(IF(O37&lt;=40,0,IF(AND(O37&gt;=41,O37&lt;=60),O37-40,20))*J122,0)+ROUNDDOWN(IF(O37&lt;=60,0,IF(AND(O37&gt;=61,O37&lt;=100),O37-60,40))*J123,0)+ROUNDDOWN(IF(O37&lt;=100,0,IF(AND(O37&gt;=101,O37&lt;=200),O37-100,100))*J124,0)+ROUNDDOWN(IF(O37&lt;=200,0,O37-200)*J125,0))*$J$11,0))</f>
        <v>302742</v>
      </c>
      <c r="J37" s="59">
        <f>(VLOOKUP(P37,$E$119:$G$126,3,FALSE)+ROUNDDOWN(IF(O37&lt;K119,0,IF(AND(O37&gt;=K119,O37&lt;=L119),O37-(K119-1),(L119-K119+1)))*M119,0)+ROUNDDOWN(IF(O37&lt;K120,0,IF(AND(O37&gt;=K120,O37&lt;=L120),O37-(K120-1),(L120-K120+1)))*M120,0)+ROUNDDOWN(IF(O37&lt;K121,0,IF(AND(O37&gt;=K121,O37&lt;=L121),O37-(K121-1),(L121-K121+1)))*M121,0)+ROUNDDOWN(IF(O37&lt;K122,0,IF(AND(O37&gt;=K122,O37&lt;=L122),O37-(K122-1),(L122-K122+1)))*M122,0)+ROUNDDOWN(IF(O37&lt;K123,0,IF(AND(O37&gt;=K123,O37&lt;=L123),O37-(K123-1),(L123-K123+1)))*M123,0)+ROUNDDOWN(IF(O37&lt;K124,0,IF(AND(O37&gt;=K124,O37&lt;=L124),O37-(K124-1),(L124-K124+1)))*M124,0)+ROUNDDOWN(IF(O37&lt;K125,0,O37-(K125-1))*M125,0))+(ROUNDDOWN((VLOOKUP(P37,$E$119:$G$126,3,FALSE)+ROUNDDOWN(IF(O37&lt;K119,0,IF(AND(O37&gt;=K119,O37&lt;=L119),O37-(K119-1),(L119-K119+1)))*M119,0)+ROUNDDOWN(IF(O37&lt;K120,0,IF(AND(O37&gt;=K120,O37&lt;=L120),O37-(K120-1),(L120-K120+1)))*M120,0)+ROUNDDOWN(IF(O37&lt;K121,0,IF(AND(O37&gt;=K121,O37&lt;=L121),O37-(K121-1),(L121-K121+1)))*M121,0)+ROUNDDOWN(IF(O37&lt;K122,0,IF(AND(O37&gt;=K122,O37&lt;=L122),O37-(K122-1),(L122-K122+1)))*M122,0)+ROUNDDOWN(IF(O37&lt;K123,0,IF(AND(O37&gt;=K123,O37&lt;=L123),O37-(K123-1),(L123-K123+1)))*M123,0)+ROUNDDOWN(IF(O37&lt;K124,0,IF(AND(O37&gt;=K124,O37&lt;=L124),O37-(K124-1),(L124-K124+1)))*M124,0)+ROUNDDOWN(IF(O37&lt;K125,0,O37-(K125-1))*M125,0))*J11,0))</f>
        <v>386320</v>
      </c>
      <c r="K37" s="109">
        <f t="shared" ref="K37:K44" si="5">+J37-I37</f>
        <v>83578</v>
      </c>
      <c r="L37" s="111">
        <f t="shared" ref="L37:L44" si="6">+J37/I37-1</f>
        <v>0.27607005304847032</v>
      </c>
      <c r="M37" s="49"/>
      <c r="N37" s="49"/>
      <c r="O37" s="31">
        <v>1300</v>
      </c>
      <c r="P37" s="31">
        <v>40</v>
      </c>
    </row>
    <row r="38" spans="1:21" ht="30" customHeight="1" x14ac:dyDescent="0.4">
      <c r="B38" s="31"/>
      <c r="C38" s="35"/>
      <c r="D38" s="35"/>
      <c r="E38" s="35"/>
      <c r="F38" s="35"/>
      <c r="G38" s="48"/>
      <c r="H38" s="48"/>
      <c r="I38" s="58">
        <f>I37+(+F131+ROUNDDOWN(IF(O38&lt;=20,0,IF(AND(O38&gt;=21,O38&lt;=40),O38-20,20))*J133,0)+ROUNDDOWN(IF(O38&lt;=40,0,IF(AND(O38&gt;=41,O38&lt;=60),O38-40,20))*J134,0)+ROUNDDOWN(IF(O38&lt;=60,0,IF(AND(O38&gt;=61,O38&lt;=100),O38-60,40))*J135,0)+ROUNDDOWN(IF(O38&lt;=100,0,IF(AND(O38&gt;=101,O38&lt;=200),O38-100,100))*J136,0)+ROUNDDOWN(IF(O38&lt;=200,0,IF(AND(O38&gt;=201,O38&lt;=400),O38-200,200))*J137,0)+ROUNDDOWN(IF(O38&lt;=400,0,IF(AND(O38&gt;=401,O38&lt;=1000),O38-400,600))*J138,0)+ROUNDDOWN(IF(O38&lt;=1000,0,O38-1000)*J139,0))+(ROUNDDOWN((+F131+ROUNDDOWN(IF(O38&lt;=20,0,IF(AND(O38&gt;=21,O38&lt;=40),O38-20,20))*J133,0)+ROUNDDOWN(IF(O38&lt;=40,0,IF(AND(O38&gt;=41,O38&lt;=60),O38-40,20))*J134,0)+ROUNDDOWN(IF(O38&lt;=60,0,IF(AND(O38&gt;=61,O38&lt;=100),O38-60,40))*J135,0)+ROUNDDOWN(IF(O38&lt;=100,0,IF(AND(O38&gt;=101,O38&lt;=200),O38-100,100))*J136,0)+ROUNDDOWN(IF(O38&lt;=200,0,IF(AND(O38&gt;=201,O38&lt;=400),O38-200,200))*J137,0)+ROUNDDOWN(IF(O38&lt;=400,0,IF(AND(O38&gt;=401,O38&lt;=1000),O38-400,600))*J138,0)+ROUNDDOWN(IF(O38&lt;=1000,0,O38-1000)*J139,0))*$J$11,0))</f>
        <v>482042</v>
      </c>
      <c r="J38" s="59">
        <f>J37+(+G131+ROUNDDOWN(IF(O38&lt;K131,0,IF(AND(O38&gt;=K131,O38&lt;=L131),O38-(K131-1),(L131-K131+1)))*M131,0)+ROUNDDOWN(IF(O38&lt;K132,0,IF(AND(O38&gt;=K132,O38&lt;=L132),O38-(K132-1),(L132-K132+1)))*M132,0)+ROUNDDOWN(IF(O38&lt;K133,0,IF(AND(O38&gt;=K133,O38&lt;=L133),O38-(K133-1),(L133-K133+1)))*M133,0)+ROUNDDOWN(IF(O38&lt;K134,0,IF(AND(O38&gt;=K134,O38&lt;=L134),O38-(K134-1),(L134-K134+1)))*M134,0)+ROUNDDOWN(IF(O38&lt;K135,0,IF(AND(O38&gt;=K135,O38&lt;=L135),O38-(K135-1),(L135-K135+1)))*M135,0)+ROUNDDOWN(IF(O38&lt;K136,0,IF(AND(O38&gt;=K136,O38&lt;=L136),O38-(K136-1),(L136-K136+1)))*M136,0)+ROUNDDOWN(IF(O38&lt;K137,0,IF(AND(O38&gt;=K137,O38&lt;=L137),O38-(K137-1),(L137-K137+1)))*M137,0)+ROUNDDOWN(IF(O38&lt;K138,0,IF(AND(O38&gt;=K138,O38&lt;=L138),O38-(K138-1),(L138-K138+1)))*M138,0)+ROUNDDOWN(IF(O38&lt;K139,0,O38-(K139-1))*M139,0))+(ROUNDDOWN((+G131+ROUNDDOWN(IF(O38&lt;K131,0,IF(AND(O38&gt;=K131,O38&lt;=L131),O38-(K131-1),(L131-K131+1)))*M131,0)+ROUNDDOWN(IF(O38&lt;K132,0,IF(AND(O38&gt;=K132,O38&lt;=L132),O38-(K132-1),(L132-K132+1)))*M132,0)+ROUNDDOWN(IF(O38&lt;K133,0,IF(AND(O38&gt;=K133,O38&lt;=L133),O38-(K133-1),(L133-K133+1)))*M133,0)+ROUNDDOWN(IF(O38&lt;K134,0,IF(AND(O38&gt;=K134,O38&lt;=L134),O38-(K134-1),(L134-K134+1)))*M134,0)+ROUNDDOWN(IF(O38&lt;K135,0,IF(AND(O38&gt;=K135,O38&lt;=L135),O38-(K135-1),(L135-K135+1)))*M135,0)+ROUNDDOWN(IF(O38&lt;K136,0,IF(AND(O38&gt;=K136,O38&lt;=L136),O38-(K136-1),(L136-K136+1)))*M136,0)+ROUNDDOWN(IF(O38&lt;K137,0,IF(AND(O38&gt;=K137,O38&lt;=L137),O38-(K137-1),(L137-K137+1)))*M137,0)+ROUNDDOWN(IF(O38&lt;K138,0,IF(AND(O38&gt;=K138,O38&lt;=L138),O38-(K138-1),(L138-K138+1)))*M138,0)+ROUNDDOWN(IF(O38&lt;K139,0,O38-(K139-1))*M139,0))*$J$11,0))</f>
        <v>626934</v>
      </c>
      <c r="K38" s="109">
        <f t="shared" si="5"/>
        <v>144892</v>
      </c>
      <c r="L38" s="111">
        <f t="shared" si="6"/>
        <v>0.30057961754369944</v>
      </c>
      <c r="M38" s="49"/>
      <c r="N38" s="49"/>
      <c r="O38" s="31">
        <v>1300</v>
      </c>
      <c r="P38" s="31">
        <v>40</v>
      </c>
    </row>
    <row r="39" spans="1:21" ht="30" customHeight="1" x14ac:dyDescent="0.4">
      <c r="B39" s="31"/>
      <c r="C39" s="35"/>
      <c r="D39" s="35"/>
      <c r="E39" s="35"/>
      <c r="F39" s="35"/>
      <c r="G39" s="48"/>
      <c r="H39" s="48"/>
      <c r="I39" s="58">
        <f>(VLOOKUP($P$39,$E$119:$G$126,2,FALSE)+ROUNDDOWN(IF(O39&lt;=20,0,IF(AND(O39&gt;=21,O39&lt;=40),O39-20,20))*J121,0)+ROUNDDOWN(IF(O39&lt;=40,0,IF(AND(O39&gt;=41,O39&lt;=60),O39-40,20))*J122,0)+ROUNDDOWN(IF(O39&lt;=60,0,IF(AND(O39&gt;=61,O39&lt;=100),O39-60,40))*J123,0)+ROUNDDOWN(IF(O39&lt;=100,0,IF(AND(O39&gt;=101,O39&lt;=200),O39-100,100))*J124,0)+ROUNDDOWN(IF(O39&lt;=200,0,O39-200)*J125,0))+(ROUNDDOWN((VLOOKUP($P$39,$E$119:$G$126,2,FALSE)+ROUNDDOWN(IF(O39&lt;=20,0,IF(AND(O39&gt;=21,O39&lt;=40),O39-20,20))*J121,0)+ROUNDDOWN(IF(O39&lt;=40,0,IF(AND(O39&gt;=41,O39&lt;=60),O39-40,20))*J122,0)+ROUNDDOWN(IF(O39&lt;=60,0,IF(AND(O39&gt;=61,O39&lt;=100),O39-60,40))*J123,0)+ROUNDDOWN(IF(O39&lt;=100,0,IF(AND(O39&gt;=101,O39&lt;=200),O39-100,100))*J124,0)+ROUNDDOWN(IF(O39&lt;=200,0,O39-200)*J125,0))*$J$11,0))</f>
        <v>486294</v>
      </c>
      <c r="J39" s="59">
        <f>(VLOOKUP(P39,$E$119:$G$126,3,FALSE)+ROUNDDOWN(IF(O39&lt;K119,0,IF(AND(O39&gt;=K119,O39&lt;=L119),O39-(K119-1),(L119-K119+1)))*M119,0)+ROUNDDOWN(IF(O39&lt;K120,0,IF(AND(O39&gt;=K120,O39&lt;=L120),O39-(K120-1),(L120-K120+1)))*M120,0)+ROUNDDOWN(IF(O39&lt;K121,0,IF(AND(O39&gt;=K121,O39&lt;=L121),O39-(K121-1),(L121-K121+1)))*M121,0)+ROUNDDOWN(IF(O39&lt;K122,0,IF(AND(O39&gt;=K122,O39&lt;=L122),O39-(K122-1),(L122-K122+1)))*M122,0)+ROUNDDOWN(IF(O39&lt;K123,0,IF(AND(O39&gt;=K123,O39&lt;=L123),O39-(K123-1),(L123-K123+1)))*M123,0)+ROUNDDOWN(IF(O39&lt;K124,0,IF(AND(O39&gt;=K124,O39&lt;=L124),O39-(K124-1),(L124-K124+1)))*M124,0)+ROUNDDOWN(IF(O39&lt;K125,0,O39-(K125-1))*M125,0))+(ROUNDDOWN((VLOOKUP(P39,$E$119:$G$126,3,FALSE)+ROUNDDOWN(IF(O39&lt;K119,0,IF(AND(O39&gt;=K119,O39&lt;=L119),O39-(K119-1),(L119-K119+1)))*M119,0)+ROUNDDOWN(IF(O39&lt;K120,0,IF(AND(O39&gt;=K120,O39&lt;=L120),O39-(K120-1),(L120-K120+1)))*M120,0)+ROUNDDOWN(IF(O39&lt;K121,0,IF(AND(O39&gt;=K121,O39&lt;=L121),O39-(K121-1),(L121-K121+1)))*M121,0)+ROUNDDOWN(IF(O39&lt;K122,0,IF(AND(O39&gt;=K122,O39&lt;=L122),O39-(K122-1),(L122-K122+1)))*M122,0)+ROUNDDOWN(IF(O39&lt;K123,0,IF(AND(O39&gt;=K123,O39&lt;=L123),O39-(K123-1),(L123-K123+1)))*M123,0)+ROUNDDOWN(IF(O39&lt;K124,0,IF(AND(O39&gt;=K124,O39&lt;=L124),O39-(K124-1),(L124-K124+1)))*M124,0)+ROUNDDOWN(IF(O39&lt;K125,0,O39-(K125-1))*M125,0))*J11,0))</f>
        <v>616000</v>
      </c>
      <c r="K39" s="109">
        <f t="shared" si="5"/>
        <v>129706</v>
      </c>
      <c r="L39" s="111">
        <f t="shared" si="6"/>
        <v>0.26672342245637415</v>
      </c>
      <c r="M39" s="49"/>
      <c r="N39" s="49"/>
      <c r="O39" s="31">
        <v>2000</v>
      </c>
      <c r="P39" s="31">
        <v>50</v>
      </c>
    </row>
    <row r="40" spans="1:21" ht="30" customHeight="1" x14ac:dyDescent="0.4">
      <c r="B40" s="31"/>
      <c r="C40" s="35"/>
      <c r="D40" s="35"/>
      <c r="E40" s="35"/>
      <c r="F40" s="35"/>
      <c r="G40" s="48"/>
      <c r="H40" s="48"/>
      <c r="I40" s="58">
        <f>I39+(+F131+ROUNDDOWN(IF(O40&lt;=20,0,IF(AND(O40&gt;=21,O40&lt;=40),O40-20,20))*J133,0)+ROUNDDOWN(IF(O40&lt;=40,0,IF(AND(O40&gt;=41,O40&lt;=60),O40-40,20))*J134,0)+ROUNDDOWN(IF(O40&lt;=60,0,IF(AND(O40&gt;=61,O40&lt;=100),O40-60,40))*J135,0)+ROUNDDOWN(IF(O40&lt;=100,0,IF(AND(O40&gt;=101,O40&lt;=200),O40-100,100))*J136,0)+ROUNDDOWN(IF(O40&lt;=200,0,IF(AND(O40&gt;=201,O40&lt;=400),O40-200,200))*J137,0)+ROUNDDOWN(IF(O40&lt;=400,0,IF(AND(O40&gt;=401,O40&lt;=1000),O40-400,600))*J138,0)+ROUNDDOWN(IF(O40&lt;=1000,0,O40-1000)*J139,0))+(ROUNDDOWN((+F131+ROUNDDOWN(IF(O40&lt;=20,0,IF(AND(O40&gt;=21,O40&lt;=40),O40-20,20))*J133,0)+ROUNDDOWN(IF(O40&lt;=40,0,IF(AND(O40&gt;=41,O40&lt;=60),O40-40,20))*J134,0)+ROUNDDOWN(IF(O40&lt;=60,0,IF(AND(O40&gt;=61,O40&lt;=100),O40-60,40))*J135,0)+ROUNDDOWN(IF(O40&lt;=100,0,IF(AND(O40&gt;=101,O40&lt;=200),O40-100,100))*J136,0)+ROUNDDOWN(IF(O40&lt;=200,0,IF(AND(O40&gt;=201,O40&lt;=400),O40-200,200))*J137,0)+ROUNDDOWN(IF(O40&lt;=400,0,IF(AND(O40&gt;=401,O40&lt;=1000),O40-400,600))*J138,0)+ROUNDDOWN(IF(O40&lt;=1000,0,O40-1000)*J139,0))*$J$11,0))</f>
        <v>781094</v>
      </c>
      <c r="J40" s="59">
        <f>J39+(+G131+ROUNDDOWN(IF(O40&lt;K131,0,IF(AND(O40&gt;=K131,O40&lt;=L131),O40-(K131-1),(L131-K131+1)))*M131,0)+ROUNDDOWN(IF(O40&lt;K132,0,IF(AND(O40&gt;=K132,O40&lt;=L132),O40-(K132-1),(L132-K132+1)))*M132,0)+ROUNDDOWN(IF(O40&lt;K133,0,IF(AND(O40&gt;=K133,O40&lt;=L133),O40-(K133-1),(L133-K133+1)))*M133,0)+ROUNDDOWN(IF(O40&lt;K134,0,IF(AND(O40&gt;=K134,O40&lt;=L134),O40-(K134-1),(L134-K134+1)))*M134,0)+ROUNDDOWN(IF(O40&lt;K135,0,IF(AND(O40&gt;=K135,O40&lt;=L135),O40-(K135-1),(L135-K135+1)))*M135,0)+ROUNDDOWN(IF(O40&lt;K136,0,IF(AND(O40&gt;=K136,O40&lt;=L136),O40-(K136-1),(L136-K136+1)))*M136,0)+ROUNDDOWN(IF(O40&lt;K137,0,IF(AND(O40&gt;=K137,O40&lt;=L137),O40-(K137-1),(L137-K137+1)))*M137,0)+ROUNDDOWN(IF(O40&lt;K138,0,IF(AND(O40&gt;=K138,O40&lt;=L138),O40-(K138-1),(L138-K138+1)))*M138,0)+ROUNDDOWN(IF(O40&lt;K139,0,O40-(K139-1))*M139,0))+(ROUNDDOWN((+G131+ROUNDDOWN(IF(O40&lt;K131,0,IF(AND(O40&gt;=K131,O40&lt;=L131),O40-(K131-1),(L131-K131+1)))*M131,0)+ROUNDDOWN(IF(O40&lt;K132,0,IF(AND(O40&gt;=K132,O40&lt;=L132),O40-(K132-1),(L132-K132+1)))*M132,0)+ROUNDDOWN(IF(O40&lt;K133,0,IF(AND(O40&gt;=K133,O40&lt;=L133),O40-(K133-1),(L133-K133+1)))*M133,0)+ROUNDDOWN(IF(O40&lt;K134,0,IF(AND(O40&gt;=K134,O40&lt;=L134),O40-(K134-1),(L134-K134+1)))*M134,0)+ROUNDDOWN(IF(O40&lt;K135,0,IF(AND(O40&gt;=K135,O40&lt;=L135),O40-(K135-1),(L135-K135+1)))*M135,0)+ROUNDDOWN(IF(O40&lt;K136,0,IF(AND(O40&gt;=K136,O40&lt;=L136),O40-(K136-1),(L136-K136+1)))*M136,0)+ROUNDDOWN(IF(O40&lt;K137,0,IF(AND(O40&gt;=K137,O40&lt;=L137),O40-(K137-1),(L137-K137+1)))*M137,0)+ROUNDDOWN(IF(O40&lt;K138,0,IF(AND(O40&gt;=K138,O40&lt;=L138),O40-(K138-1),(L138-K138+1)))*M138,0)+ROUNDDOWN(IF(O40&lt;K139,0,O40-(K139-1))*M139,0))*$J$11,0))</f>
        <v>1002914</v>
      </c>
      <c r="K40" s="109">
        <f t="shared" si="5"/>
        <v>221820</v>
      </c>
      <c r="L40" s="111">
        <f t="shared" si="6"/>
        <v>0.28398630638565914</v>
      </c>
      <c r="M40" s="49"/>
      <c r="N40" s="49"/>
      <c r="O40" s="31">
        <v>2000</v>
      </c>
      <c r="P40" s="31">
        <v>50</v>
      </c>
    </row>
    <row r="41" spans="1:21" ht="30" customHeight="1" x14ac:dyDescent="0.4">
      <c r="B41" s="31"/>
      <c r="C41" s="35"/>
      <c r="D41" s="35"/>
      <c r="E41" s="35"/>
      <c r="F41" s="35"/>
      <c r="G41" s="48"/>
      <c r="H41" s="48"/>
      <c r="I41" s="58">
        <f>(VLOOKUP(P41,$E$119:$G$126,2,FALSE)+ROUNDDOWN(IF(O41&lt;=20,0,IF(AND(O41&gt;=21,O41&lt;=40),O41-20,20))*J121,0)+ROUNDDOWN(IF(O41&lt;=40,0,IF(AND(O41&gt;=41,O41&lt;=60),O41-40,20))*J122,0)+ROUNDDOWN(IF(O41&lt;=60,0,IF(AND(O41&gt;=61,O41&lt;=100),O41-60,40))*J123,0)+ROUNDDOWN(IF(O41&lt;=100,0,IF(AND(O41&gt;=101,O41&lt;=200),O41-100,100))*J124,0)+ROUNDDOWN(IF(O41&lt;=200,0,O41-200)*J125,0))+(ROUNDDOWN((VLOOKUP(P41,$E$119:$G$126,2,FALSE)+ROUNDDOWN(IF(O41&lt;=20,0,IF(AND(O41&gt;=21,O41&lt;=40),O41-20,20))*J121,0)+ROUNDDOWN(IF(O41&lt;=40,0,IF(AND(O41&gt;=41,O41&lt;=60),O41-40,20))*J122,0)+ROUNDDOWN(IF(O41&lt;=60,0,IF(AND(O41&gt;=61,O41&lt;=100),O41-60,40))*J123,0)+ROUNDDOWN(IF(O41&lt;=100,0,IF(AND(O41&gt;=101,O41&lt;=200),O41-100,100))*J124,0)+ROUNDDOWN(IF(O41&lt;=200,0,O41-200)*J125,0))*$J$11,0))</f>
        <v>826353</v>
      </c>
      <c r="J41" s="59">
        <f>(VLOOKUP(P41,$E$119:$G$126,3,FALSE)+ROUNDDOWN(IF(O41&lt;K119,0,IF(AND(O41&gt;=K119,O41&lt;=L119),O41-(K119-1),(L119-K119+1)))*M119,0)+ROUNDDOWN(IF(O41&lt;K120,0,IF(AND(O41&gt;=K120,O41&lt;=L120),O41-(K120-1),(L120-K120+1)))*M120,0)+ROUNDDOWN(IF(O41&lt;K121,0,IF(AND(O41&gt;=K121,O41&lt;=L121),O41-(K121-1),(L121-K121+1)))*M121,0)+ROUNDDOWN(IF(O41&lt;K122,0,IF(AND(O41&gt;=K122,O41&lt;=L122),O41-(K122-1),(L122-K122+1)))*M122,0)+ROUNDDOWN(IF(O41&lt;K123,0,IF(AND(O41&gt;=K123,O41&lt;=L123),O41-(K123-1),(L123-K123+1)))*M123,0)+ROUNDDOWN(IF(O41&lt;K124,0,IF(AND(O41&gt;=K124,O41&lt;=L124),O41-(K124-1),(L124-K124+1)))*M124,0)+ROUNDDOWN(IF(O41&lt;K125,0,O41-(K125-1))*M125,0))+(ROUNDDOWN((VLOOKUP(P41,$E$119:$G$126,3,FALSE)+ROUNDDOWN(IF(O41&lt;K119,0,IF(AND(O41&gt;=K119,O41&lt;=L119),O41-(K119-1),(L119-K119+1)))*M119,0)+ROUNDDOWN(IF(O41&lt;K120,0,IF(AND(O41&gt;=K120,O41&lt;=L120),O41-(K120-1),(L120-K120+1)))*M120,0)+ROUNDDOWN(IF(O41&lt;K121,0,IF(AND(O41&gt;=K121,O41&lt;=L121),O41-(K121-1),(L121-K121+1)))*M121,0)+ROUNDDOWN(IF(O41&lt;K122,0,IF(AND(O41&gt;=K122,O41&lt;=L122),O41-(K122-1),(L122-K122+1)))*M122,0)+ROUNDDOWN(IF(O41&lt;K123,0,IF(AND(O41&gt;=K123,O41&lt;=L123),O41-(K123-1),(L123-K123+1)))*M123,0)+ROUNDDOWN(IF(O41&lt;K124,0,IF(AND(O41&gt;=K124,O41&lt;=L124),O41-(K124-1),(L124-K124+1)))*M124,0)+ROUNDDOWN(IF(O41&lt;K125,0,O41-(K125-1))*M125,0))*J11,0))</f>
        <v>1048520</v>
      </c>
      <c r="K41" s="109">
        <f t="shared" si="5"/>
        <v>222167</v>
      </c>
      <c r="L41" s="111">
        <f t="shared" si="6"/>
        <v>0.26885241537212301</v>
      </c>
      <c r="M41" s="49"/>
      <c r="N41" s="49"/>
      <c r="O41" s="31">
        <v>3400</v>
      </c>
      <c r="P41" s="31">
        <v>75</v>
      </c>
    </row>
    <row r="42" spans="1:21" ht="30" customHeight="1" x14ac:dyDescent="0.4">
      <c r="B42" s="31"/>
      <c r="C42" s="35"/>
      <c r="D42" s="35"/>
      <c r="E42" s="35"/>
      <c r="F42" s="35"/>
      <c r="G42" s="48"/>
      <c r="H42" s="48"/>
      <c r="I42" s="58">
        <f>(+F131+ROUNDDOWN(IF(O42&lt;=20,0,IF(AND(O42&gt;=21,O42&lt;=40),O42-20,20))*J133,0)+ROUNDDOWN(IF(O42&lt;=40,0,IF(AND(O42&gt;=41,O42&lt;=60),O42-40,20))*J134,0)+ROUNDDOWN(IF(O42&lt;=60,0,IF(AND(O42&gt;=61,O42&lt;=100),O42-60,40))*J135,0)+ROUNDDOWN(IF(O42&lt;=100,0,IF(AND(O42&gt;=101,O42&lt;=200),O42-100,100))*J136,0)+ROUNDDOWN(IF(O42&lt;=200,0,IF(AND(O42&gt;=201,O42&lt;=400),O42-200,200))*J137,0)+ROUNDDOWN(IF(O42&lt;=400,0,IF(AND(O42&gt;=401,O42&lt;=1000),O42-400,600))*J138,0)+ROUNDDOWN(IF(O42&lt;=1000,0,O42-1000)*J139,0))+(ROUNDDOWN((+F131+ROUNDDOWN(IF(O42&lt;=20,0,IF(AND(O42&gt;=21,O42&lt;=40),O42-20,20))*J133,0)+ROUNDDOWN(IF(O42&lt;=40,0,IF(AND(O42&gt;=41,O42&lt;=60),O42-40,20))*J134,0)+ROUNDDOWN(IF(O42&lt;=60,0,IF(AND(O42&gt;=61,O42&lt;=100),O42-60,40))*J135,0)+ROUNDDOWN(IF(O42&lt;=100,0,IF(AND(O42&gt;=101,O42&lt;=200),O42-100,100))*J136,0)+ROUNDDOWN(IF(O42&lt;=200,0,IF(AND(O42&gt;=201,O42&lt;=400),O42-200,200))*J137,0)+ROUNDDOWN(IF(O42&lt;=400,0,IF(AND(O42&gt;=401,O42&lt;=1000),O42-400,600))*J138,0)+ROUNDDOWN(IF(O42&lt;=1000,0,O42-1000)*J139,0))*$J$11,0))+I41</f>
        <v>1352153</v>
      </c>
      <c r="J42" s="59">
        <f>(+G131+ROUNDDOWN(IF(O42&lt;K131,0,IF(AND(O42&gt;=K131,O42&lt;=L131),O42-(K131-1),(L131-K131+1)))*M131,0)+ROUNDDOWN(IF(O42&lt;K132,0,IF(AND(O42&gt;=K132,O42&lt;=L132),O42-(K132-1),(L132-K132+1)))*M132,0)+ROUNDDOWN(IF(O42&lt;K133,0,IF(AND(O42&gt;=K133,O42&lt;=L133),O42-(K133-1),(L133-K133+1)))*M133,0)+ROUNDDOWN(IF(O42&lt;K134,0,IF(AND(O42&gt;=K134,O42&lt;=L134),O42-(K134-1),(L134-K134+1)))*M134,0)+ROUNDDOWN(IF(O42&lt;K135,0,IF(AND(O42&gt;=K135,O42&lt;=L135),O42-(K135-1),(L135-K135+1)))*M135,0)+ROUNDDOWN(IF(O42&lt;K136,0,IF(AND(O42&gt;=K136,O42&lt;=L136),O42-(K136-1),(L136-K136+1)))*M136,0)+ROUNDDOWN(IF(O42&lt;K137,0,IF(AND(O42&gt;=K137,O42&lt;=L137),O42-(K137-1),(L137-K137+1)))*M137,0)+ROUNDDOWN(IF(O42&lt;K138,0,IF(AND(O42&gt;=K138,O42&lt;=L138),O42-(K138-1),(L138-K138+1)))*M138,0)+ROUNDDOWN(IF(O42&lt;K139,0,O42-(K139-1))*M139,0))+(ROUNDDOWN((+G131+ROUNDDOWN(IF(O42&lt;K131,0,IF(AND(O42&gt;=K131,O42&lt;=L131),O42-(K131-1),(L131-K131+1)))*M131,0)+ROUNDDOWN(IF(O42&lt;K132,0,IF(AND(O42&gt;=K132,O42&lt;=L132),O42-(K132-1),(L132-K132+1)))*M132,0)+ROUNDDOWN(IF(O42&lt;K133,0,IF(AND(O42&gt;=K133,O42&lt;=L133),O42-(K133-1),(L133-K133+1)))*M133,0)+ROUNDDOWN(IF(O42&lt;K134,0,IF(AND(O42&gt;=K134,O42&lt;=L134),O42-(K134-1),(L134-K134+1)))*M134,0)+ROUNDDOWN(IF(O42&lt;K135,0,IF(AND(O42&gt;=K135,O42&lt;=L135),O42-(K135-1),(L135-K135+1)))*M135,0)+ROUNDDOWN(IF(O42&lt;K136,0,IF(AND(O42&gt;=K136,O42&lt;=L136),O42-(K136-1),(L136-K136+1)))*M136,0)+ROUNDDOWN(IF(O42&lt;K137,0,IF(AND(O42&gt;=K137,O42&lt;=L137),O42-(K137-1),(L137-K137+1)))*M137,0)+ROUNDDOWN(IF(O42&lt;K138,0,IF(AND(O42&gt;=K138,O42&lt;=L138),O42-(K138-1),(L138-K138+1)))*M138,0)+ROUNDDOWN(IF(O42&lt;K139,0,O42-(K139-1))*M139,0))*$J$11,0))+J41</f>
        <v>1728034</v>
      </c>
      <c r="K42" s="109">
        <f t="shared" si="5"/>
        <v>375881</v>
      </c>
      <c r="L42" s="111">
        <f t="shared" si="6"/>
        <v>0.27798703253256107</v>
      </c>
      <c r="M42" s="49"/>
      <c r="N42" s="49"/>
      <c r="O42" s="31">
        <v>3400</v>
      </c>
      <c r="P42" s="31">
        <v>75</v>
      </c>
    </row>
    <row r="43" spans="1:21" ht="30" customHeight="1" x14ac:dyDescent="0.4">
      <c r="B43" s="31"/>
      <c r="C43" s="35"/>
      <c r="D43" s="35"/>
      <c r="E43" s="35"/>
      <c r="F43" s="35"/>
      <c r="G43" s="48"/>
      <c r="H43" s="48"/>
      <c r="I43" s="58">
        <f>(VLOOKUP(P43,$E$119:$G$126,2,FALSE)+ROUNDDOWN(IF(O43&lt;=20,0,IF(AND(O43&gt;=21,O43&lt;=40),O43-20,20))*J121,0)+ROUNDDOWN(IF(O43&lt;=40,0,IF(AND(O43&gt;=41,O43&lt;=60),O43-40,20))*J122,0)+ROUNDDOWN(IF(O43&lt;=60,0,IF(AND(O43&gt;=61,O43&lt;=100),O43-60,40))*J123,0)+ROUNDDOWN(IF(O43&lt;=100,0,IF(AND(O43&gt;=101,O43&lt;=200),O43-100,100))*J124,0)+ROUNDDOWN(IF(O43&lt;=200,0,O43-200)*J125,0))+(ROUNDDOWN((VLOOKUP(P43,$E$119:$G$126,2,FALSE)+ROUNDDOWN(IF(O43&lt;=20,0,IF(AND(O43&gt;=21,O43&lt;=40),O43-20,20))*J121,0)+ROUNDDOWN(IF(O43&lt;=40,0,IF(AND(O43&gt;=41,O43&lt;=60),O43-40,20))*J122,0)+ROUNDDOWN(IF(O43&lt;=60,0,IF(AND(O43&gt;=61,O43&lt;=100),O43-60,40))*J123,0)+ROUNDDOWN(IF(O43&lt;=100,0,IF(AND(O43&gt;=101,O43&lt;=200),O43-100,100))*J124,0)+ROUNDDOWN(IF(O43&lt;=200,0,O43-200)*J125,0))*$J$11,0))</f>
        <v>2829453</v>
      </c>
      <c r="J43" s="59">
        <f>(VLOOKUP(P43,$E$119:$G$126,3,FALSE)+ROUNDDOWN(IF(O43&lt;K119,0,IF(AND(O43&gt;=K119,O43&lt;=L119),O43-(K119-1),(L119-K119+1)))*M119,0)+ROUNDDOWN(IF(O43&lt;K120,0,IF(AND(O43&gt;=K120,O43&lt;=L120),O43-(K120-1),(L120-K120+1)))*M120,0)+ROUNDDOWN(IF(O43&lt;K121,0,IF(AND(O43&gt;=K121,O43&lt;=L121),O43-(K121-1),(L121-K121+1)))*M121,0)+ROUNDDOWN(IF(O43&lt;K122,0,IF(AND(O43&gt;=K122,O43&lt;=L122),O43-(K122-1),(L122-K122+1)))*M122,0)+ROUNDDOWN(IF(O43&lt;K123,0,IF(AND(O43&gt;=K123,O43&lt;=L123),O43-(K123-1),(L123-K123+1)))*M123,0)+ROUNDDOWN(IF(O43&lt;K124,0,IF(AND(O43&gt;=K124,O43&lt;=L124),O43-(K124-1),(L124-K124+1)))*M124,0)+ROUNDDOWN(IF(O43&lt;K125,0,O43-(K125-1))*M125,0))+(ROUNDDOWN((VLOOKUP(P43,$E$119:$G$126,3,FALSE)+ROUNDDOWN(IF(O43&lt;K119,0,IF(AND(O43&gt;=K119,O43&lt;=L119),O43-(K119-1),(L119-K119+1)))*M119,0)+ROUNDDOWN(IF(O43&lt;K120,0,IF(AND(O43&gt;=K120,O43&lt;=L120),O43-(K120-1),(L120-K120+1)))*M120,0)+ROUNDDOWN(IF(O43&lt;K121,0,IF(AND(O43&gt;=K121,O43&lt;=L121),O43-(K121-1),(L121-K121+1)))*M121,0)+ROUNDDOWN(IF(O43&lt;K122,0,IF(AND(O43&gt;=K122,O43&lt;=L122),O43-(K122-1),(L122-K122+1)))*M122,0)+ROUNDDOWN(IF(O43&lt;K123,0,IF(AND(O43&gt;=K123,O43&lt;=L123),O43-(K123-1),(L123-K123+1)))*M123,0)+ROUNDDOWN(IF(O43&lt;K124,0,IF(AND(O43&gt;=K124,O43&lt;=L124),O43-(K124-1),(L124-K124+1)))*M124,0)+ROUNDDOWN(IF(O43&lt;K125,0,O43-(K125-1))*M125,0))*J11,0))</f>
        <v>3619220</v>
      </c>
      <c r="K43" s="109">
        <f t="shared" si="5"/>
        <v>789767</v>
      </c>
      <c r="L43" s="111">
        <f t="shared" si="6"/>
        <v>0.27912356204538469</v>
      </c>
      <c r="M43" s="49"/>
      <c r="N43" s="49"/>
      <c r="O43" s="31">
        <v>12000</v>
      </c>
      <c r="P43" s="31">
        <v>100</v>
      </c>
    </row>
    <row r="44" spans="1:21" ht="30" customHeight="1" x14ac:dyDescent="0.4">
      <c r="B44" s="31"/>
      <c r="C44" s="35"/>
      <c r="D44" s="35"/>
      <c r="E44" s="35"/>
      <c r="F44" s="35"/>
      <c r="G44" s="48"/>
      <c r="H44" s="48"/>
      <c r="I44" s="58">
        <f>(+F131+ROUNDDOWN(IF(O44&lt;=20,0,IF(AND(O44&gt;=21,O44&lt;=40),O44-20,20))*J133,0)+ROUNDDOWN(IF(O44&lt;=40,0,IF(AND(O44&gt;=41,O44&lt;=60),O44-40,20))*J134,0)+ROUNDDOWN(IF(O44&lt;=60,0,IF(AND(O44&gt;=61,O44&lt;=100),O44-60,40))*J135,0)+ROUNDDOWN(IF(O44&lt;=100,0,IF(AND(O44&gt;=101,O44&lt;=200),O44-100,100))*J136,0)+ROUNDDOWN(IF(O44&lt;=200,0,IF(AND(O44&gt;=201,O44&lt;=400),O44-200,200))*J137,0)+ROUNDDOWN(IF(O44&lt;=400,0,IF(AND(O44&gt;=401,O44&lt;=1000),O44-400,600))*J138,0)+ROUNDDOWN(IF(O44&lt;=1000,0,O44-1000)*J139,0))+(ROUNDDOWN((+F131+ROUNDDOWN(IF(O44&lt;=20,0,IF(AND(O44&gt;=21,O44&lt;=40),O44-20,20))*J133,0)+ROUNDDOWN(IF(O44&lt;=40,0,IF(AND(O44&gt;=41,O44&lt;=60),O44-40,20))*J134,0)+ROUNDDOWN(IF(O44&lt;=60,0,IF(AND(O44&gt;=61,O44&lt;=100),O44-60,40))*J135,0)+ROUNDDOWN(IF(O44&lt;=100,0,IF(AND(O44&gt;=101,O44&lt;=200),O44-100,100))*J136,0)+ROUNDDOWN(IF(O44&lt;=200,0,IF(AND(O44&gt;=201,O44&lt;=400),O44-200,200))*J137,0)+ROUNDDOWN(IF(O44&lt;=400,0,IF(AND(O44&gt;=401,O44&lt;=1000),O44-400,600))*J138,0)+ROUNDDOWN(IF(O44&lt;=1000,0,O44-1000)*J139,0))*$J$11,0))+I43</f>
        <v>4774253</v>
      </c>
      <c r="J44" s="59">
        <f>(+G131+ROUNDDOWN(IF(O44&lt;K131,0,IF(AND(O44&gt;=K131,O44&lt;=L131),O44-(K131-1),(L131-K131+1)))*M131,0)+ROUNDDOWN(IF(O44&lt;K132,0,IF(AND(O44&gt;=K132,O44&lt;=L132),O44-(K132-1),(L132-K132+1)))*M132,0)+ROUNDDOWN(IF(O44&lt;K133,0,IF(AND(O44&gt;=K133,O44&lt;=L133),O44-(K133-1),(L133-K133+1)))*M133,0)+ROUNDDOWN(IF(O44&lt;K134,0,IF(AND(O44&gt;=K134,O44&lt;=L134),O44-(K134-1),(L134-K134+1)))*M134,0)+ROUNDDOWN(IF(O44&lt;K135,0,IF(AND(O44&gt;=K135,O44&lt;=L135),O44-(K135-1),(L135-K135+1)))*M135,0)+ROUNDDOWN(IF(O44&lt;K136,0,IF(AND(O44&gt;=K136,O44&lt;=L136),O44-(K136-1),(L136-K136+1)))*M136,0)+ROUNDDOWN(IF(O44&lt;K137,0,IF(AND(O44&gt;=K137,O44&lt;=L137),O44-(K137-1),(L137-K137+1)))*M137,0)+ROUNDDOWN(IF(O44&lt;K138,0,IF(AND(O44&gt;=K138,O44&lt;=L138),O44-(K138-1),(L138-K138+1)))*M138,0)+ROUNDDOWN(IF(O44&lt;K139,0,O44-(K139-1))*M139,0))+(ROUNDDOWN((+G131+ROUNDDOWN(IF(O44&lt;K131,0,IF(AND(O44&gt;=K131,O44&lt;=L131),O44-(K131-1),(L131-K131+1)))*M131,0)+ROUNDDOWN(IF(O44&lt;K132,0,IF(AND(O44&gt;=K132,O44&lt;=L132),O44-(K132-1),(L132-K132+1)))*M132,0)+ROUNDDOWN(IF(O44&lt;K133,0,IF(AND(O44&gt;=K133,O44&lt;=L133),O44-(K133-1),(L133-K133+1)))*M133,0)+ROUNDDOWN(IF(O44&lt;K134,0,IF(AND(O44&gt;=K134,O44&lt;=L134),O44-(K134-1),(L134-K134+1)))*M134,0)+ROUNDDOWN(IF(O44&lt;K135,0,IF(AND(O44&gt;=K135,O44&lt;=L135),O44-(K135-1),(L135-K135+1)))*M135,0)+ROUNDDOWN(IF(O44&lt;K136,0,IF(AND(O44&gt;=K136,O44&lt;=L136),O44-(K136-1),(L136-K136+1)))*M136,0)+ROUNDDOWN(IF(O44&lt;K137,0,IF(AND(O44&gt;=K137,O44&lt;=L137),O44-(K137-1),(L137-K137+1)))*M137,0)+ROUNDDOWN(IF(O44&lt;K138,0,IF(AND(O44&gt;=K138,O44&lt;=L138),O44-(K138-1),(L138-K138+1)))*M138,0)+ROUNDDOWN(IF(O44&lt;K139,0,O44-(K139-1))*M139,0))*$J$11,0))+J43</f>
        <v>6096134</v>
      </c>
      <c r="K44" s="109">
        <f t="shared" si="5"/>
        <v>1321881</v>
      </c>
      <c r="L44" s="111">
        <f t="shared" si="6"/>
        <v>0.27687703186236678</v>
      </c>
      <c r="M44" s="49"/>
      <c r="N44" s="49"/>
      <c r="O44" s="31">
        <v>12000</v>
      </c>
      <c r="P44" s="31">
        <v>100</v>
      </c>
      <c r="R44" s="31"/>
      <c r="S44" s="31"/>
      <c r="T44" s="31"/>
      <c r="U44" s="31"/>
    </row>
    <row r="45" spans="1:21" ht="5.25" customHeight="1" x14ac:dyDescent="0.4">
      <c r="B45" s="31"/>
      <c r="C45" s="35"/>
      <c r="D45" s="35"/>
      <c r="E45" s="35"/>
      <c r="F45" s="35"/>
      <c r="G45" s="35"/>
      <c r="H45" s="49"/>
      <c r="I45" s="49"/>
      <c r="J45" s="49"/>
      <c r="K45" s="110"/>
      <c r="L45" s="98"/>
      <c r="M45" s="49"/>
      <c r="N45" s="35"/>
      <c r="R45" s="31"/>
      <c r="S45" s="31"/>
      <c r="T45" s="31"/>
      <c r="U45" s="31"/>
    </row>
    <row r="46" spans="1:21" ht="10.5" customHeight="1" x14ac:dyDescent="0.4">
      <c r="B46" s="31"/>
      <c r="C46" s="35"/>
      <c r="D46" s="35"/>
      <c r="E46" s="35"/>
      <c r="F46" s="35"/>
      <c r="G46" s="35"/>
      <c r="H46" s="49"/>
      <c r="I46" s="49"/>
      <c r="J46" s="49"/>
      <c r="K46" s="49"/>
      <c r="L46" s="49"/>
      <c r="M46" s="49"/>
      <c r="N46" s="35"/>
      <c r="R46" s="31"/>
      <c r="S46" s="31"/>
      <c r="T46" s="31"/>
      <c r="U46" s="31"/>
    </row>
    <row r="47" spans="1:21" ht="42" thickBot="1" x14ac:dyDescent="0.95">
      <c r="A47" s="85"/>
      <c r="B47" s="85"/>
      <c r="C47" s="88" t="s">
        <v>52</v>
      </c>
      <c r="D47" s="88"/>
      <c r="E47" s="88"/>
      <c r="F47" s="85"/>
      <c r="G47" s="86" t="s">
        <v>29</v>
      </c>
      <c r="H47" s="112"/>
      <c r="I47" s="112"/>
      <c r="J47" s="112"/>
      <c r="K47" s="112"/>
      <c r="L47" s="112"/>
      <c r="M47" s="86" t="s">
        <v>29</v>
      </c>
      <c r="N47" s="85"/>
      <c r="R47" s="31"/>
      <c r="S47" s="31"/>
      <c r="T47" s="31"/>
      <c r="U47" s="31"/>
    </row>
    <row r="48" spans="1:21" ht="21.75" customHeight="1" thickBot="1" x14ac:dyDescent="0.45">
      <c r="A48" s="85"/>
      <c r="B48" s="85"/>
      <c r="C48" s="6"/>
      <c r="D48" s="5"/>
      <c r="E48" s="5" t="s">
        <v>1</v>
      </c>
      <c r="F48" s="73"/>
      <c r="G48" s="74"/>
      <c r="H48" s="87"/>
      <c r="I48" s="4"/>
      <c r="J48" s="72" t="s">
        <v>35</v>
      </c>
      <c r="K48" s="7" t="s">
        <v>36</v>
      </c>
      <c r="L48" s="73" t="s">
        <v>37</v>
      </c>
      <c r="M48" s="74"/>
      <c r="N48" s="85"/>
      <c r="R48" s="31"/>
      <c r="S48" s="31"/>
      <c r="T48" s="31"/>
      <c r="U48" s="31"/>
    </row>
    <row r="49" spans="1:21" ht="21.75" customHeight="1" x14ac:dyDescent="0.4">
      <c r="A49" s="85"/>
      <c r="B49" s="85"/>
      <c r="C49" s="25" t="s">
        <v>31</v>
      </c>
      <c r="D49" s="24" t="s">
        <v>25</v>
      </c>
      <c r="E49" s="77" t="s">
        <v>26</v>
      </c>
      <c r="F49" s="23" t="s">
        <v>7</v>
      </c>
      <c r="G49" s="75" t="s">
        <v>5</v>
      </c>
      <c r="H49" s="87"/>
      <c r="I49" s="8" t="s">
        <v>38</v>
      </c>
      <c r="J49" s="9" t="s">
        <v>25</v>
      </c>
      <c r="K49" s="77" t="s">
        <v>26</v>
      </c>
      <c r="L49" s="23"/>
      <c r="M49" s="75"/>
      <c r="N49" s="85"/>
      <c r="R49" s="31"/>
      <c r="S49" s="31"/>
      <c r="T49" s="31"/>
      <c r="U49" s="31"/>
    </row>
    <row r="50" spans="1:21" ht="21.75" customHeight="1" x14ac:dyDescent="0.4">
      <c r="A50" s="85"/>
      <c r="B50" s="85"/>
      <c r="C50" s="10">
        <v>13</v>
      </c>
      <c r="D50" s="17">
        <f>1376/2</f>
        <v>688</v>
      </c>
      <c r="E50" s="20">
        <f>620/2</f>
        <v>310</v>
      </c>
      <c r="F50" s="104">
        <f>-756/2</f>
        <v>-378</v>
      </c>
      <c r="G50" s="99">
        <f>-54.9418604651163%</f>
        <v>-0.54941860465116299</v>
      </c>
      <c r="H50" s="87"/>
      <c r="I50" s="12" t="s">
        <v>39</v>
      </c>
      <c r="J50" s="70"/>
      <c r="K50" s="71">
        <f>70</f>
        <v>70</v>
      </c>
      <c r="L50" s="78"/>
      <c r="M50" s="79"/>
      <c r="N50" s="85"/>
      <c r="R50" s="31"/>
      <c r="S50" s="31"/>
      <c r="T50" s="31"/>
      <c r="U50" s="31"/>
    </row>
    <row r="51" spans="1:21" ht="21.75" customHeight="1" x14ac:dyDescent="0.4">
      <c r="A51" s="85"/>
      <c r="B51" s="85"/>
      <c r="C51" s="11">
        <v>20</v>
      </c>
      <c r="D51" s="18">
        <f>1488/2</f>
        <v>744</v>
      </c>
      <c r="E51" s="21">
        <f>740/2</f>
        <v>370</v>
      </c>
      <c r="F51" s="105">
        <f>-748/2</f>
        <v>-374</v>
      </c>
      <c r="G51" s="100">
        <f>-50.2688172043011%</f>
        <v>-0.50268817204301097</v>
      </c>
      <c r="H51" s="87"/>
      <c r="I51" s="12" t="s">
        <v>40</v>
      </c>
      <c r="J51" s="69">
        <f>110</f>
        <v>110</v>
      </c>
      <c r="K51" s="71">
        <f>140</f>
        <v>140</v>
      </c>
      <c r="L51" s="76">
        <f>30</f>
        <v>30</v>
      </c>
      <c r="M51" s="82">
        <v>0.27272727272727271</v>
      </c>
      <c r="N51" s="85"/>
      <c r="R51" s="31"/>
      <c r="S51" s="31"/>
      <c r="T51" s="31"/>
      <c r="U51" s="31"/>
    </row>
    <row r="52" spans="1:21" ht="21.75" customHeight="1" x14ac:dyDescent="0.4">
      <c r="A52" s="85"/>
      <c r="B52" s="85"/>
      <c r="C52" s="11">
        <v>25</v>
      </c>
      <c r="D52" s="18">
        <f>4748/2</f>
        <v>2374</v>
      </c>
      <c r="E52" s="21">
        <f>3200/2</f>
        <v>1600</v>
      </c>
      <c r="F52" s="105">
        <f>-1548/2</f>
        <v>-774</v>
      </c>
      <c r="G52" s="100">
        <f>-32.603201347936%</f>
        <v>-0.32603201347936001</v>
      </c>
      <c r="H52" s="87"/>
      <c r="I52" s="12" t="s">
        <v>41</v>
      </c>
      <c r="J52" s="69">
        <f>140</f>
        <v>140</v>
      </c>
      <c r="K52" s="71">
        <f>190</f>
        <v>190</v>
      </c>
      <c r="L52" s="76">
        <f>50</f>
        <v>50</v>
      </c>
      <c r="M52" s="82">
        <v>0.35714285714285721</v>
      </c>
      <c r="N52" s="85"/>
      <c r="R52" s="31"/>
      <c r="S52" s="31"/>
      <c r="T52" s="31"/>
      <c r="U52" s="31"/>
    </row>
    <row r="53" spans="1:21" ht="21.75" customHeight="1" x14ac:dyDescent="0.4">
      <c r="A53" s="85"/>
      <c r="B53" s="85"/>
      <c r="C53" s="11">
        <v>30</v>
      </c>
      <c r="D53" s="18">
        <f>7862/2</f>
        <v>3931</v>
      </c>
      <c r="E53" s="21">
        <f>6400/2</f>
        <v>3200</v>
      </c>
      <c r="F53" s="105">
        <f>-1462/2</f>
        <v>-731</v>
      </c>
      <c r="G53" s="100">
        <f>-18.59577715594%</f>
        <v>-0.18595777155939999</v>
      </c>
      <c r="H53" s="87"/>
      <c r="I53" s="13" t="s">
        <v>43</v>
      </c>
      <c r="J53" s="69">
        <f>170</f>
        <v>170</v>
      </c>
      <c r="K53" s="71">
        <f>230</f>
        <v>230</v>
      </c>
      <c r="L53" s="76">
        <f>60</f>
        <v>60</v>
      </c>
      <c r="M53" s="82">
        <v>0.35294117647058831</v>
      </c>
      <c r="N53" s="85"/>
      <c r="R53" s="31"/>
      <c r="S53" s="31"/>
      <c r="T53" s="31"/>
      <c r="U53" s="31"/>
    </row>
    <row r="54" spans="1:21" ht="21.75" customHeight="1" x14ac:dyDescent="0.4">
      <c r="A54" s="85"/>
      <c r="B54" s="85"/>
      <c r="C54" s="11">
        <v>40</v>
      </c>
      <c r="D54" s="18">
        <f>13420/2</f>
        <v>6710</v>
      </c>
      <c r="E54" s="21">
        <f>12000/2</f>
        <v>6000</v>
      </c>
      <c r="F54" s="105">
        <f>-1420/2</f>
        <v>-710</v>
      </c>
      <c r="G54" s="100">
        <f>-10.5812220566319%</f>
        <v>-0.10581222056631899</v>
      </c>
      <c r="H54" s="87"/>
      <c r="I54" s="13" t="s">
        <v>44</v>
      </c>
      <c r="J54" s="69">
        <f>190</f>
        <v>190</v>
      </c>
      <c r="K54" s="71">
        <f>250</f>
        <v>250</v>
      </c>
      <c r="L54" s="76">
        <f>60</f>
        <v>60</v>
      </c>
      <c r="M54" s="82">
        <v>0.31578947368421062</v>
      </c>
      <c r="N54" s="85"/>
      <c r="R54" s="31"/>
      <c r="S54" s="31"/>
      <c r="T54" s="31"/>
      <c r="U54" s="31"/>
    </row>
    <row r="55" spans="1:21" ht="21.75" customHeight="1" thickBot="1" x14ac:dyDescent="0.45">
      <c r="A55" s="85"/>
      <c r="B55" s="85"/>
      <c r="C55" s="11">
        <v>50</v>
      </c>
      <c r="D55" s="18">
        <f>33286/2</f>
        <v>16643</v>
      </c>
      <c r="E55" s="21">
        <f>31800/2</f>
        <v>15900</v>
      </c>
      <c r="F55" s="105">
        <f>-1486/2</f>
        <v>-743</v>
      </c>
      <c r="G55" s="100">
        <f>-4.46433936189389%</f>
        <v>-4.4643393618938897E-2</v>
      </c>
      <c r="H55" s="87"/>
      <c r="I55" s="19" t="s">
        <v>45</v>
      </c>
      <c r="J55" s="15">
        <f>210</f>
        <v>210</v>
      </c>
      <c r="K55" s="84">
        <f>270</f>
        <v>270</v>
      </c>
      <c r="L55" s="81">
        <f>60</f>
        <v>60</v>
      </c>
      <c r="M55" s="83">
        <v>0.28571428571428581</v>
      </c>
      <c r="N55" s="85"/>
      <c r="R55" s="31"/>
      <c r="S55" s="31"/>
      <c r="T55" s="31"/>
      <c r="U55" s="31"/>
    </row>
    <row r="56" spans="1:21" ht="21.75" customHeight="1" x14ac:dyDescent="0.4">
      <c r="A56" s="85"/>
      <c r="B56" s="85"/>
      <c r="C56" s="11">
        <v>75</v>
      </c>
      <c r="D56" s="18">
        <f>48430/2</f>
        <v>24215</v>
      </c>
      <c r="E56" s="21">
        <f>47000/2</f>
        <v>23500</v>
      </c>
      <c r="F56" s="105">
        <f>-1430/2</f>
        <v>-715</v>
      </c>
      <c r="G56" s="100">
        <f>-2.9527152591369%</f>
        <v>-2.9527152591369E-2</v>
      </c>
      <c r="H56" s="85"/>
      <c r="I56" s="85"/>
      <c r="J56" s="85"/>
      <c r="K56" s="85"/>
      <c r="L56" s="85"/>
      <c r="M56" s="85"/>
      <c r="N56" s="85"/>
      <c r="R56" s="31"/>
      <c r="S56" s="31"/>
      <c r="T56" s="31"/>
      <c r="U56" s="31"/>
    </row>
    <row r="57" spans="1:21" ht="21.75" customHeight="1" thickBot="1" x14ac:dyDescent="0.45">
      <c r="A57" s="85"/>
      <c r="B57" s="85"/>
      <c r="C57" s="14">
        <v>100</v>
      </c>
      <c r="D57" s="80">
        <f>63430/2</f>
        <v>31715</v>
      </c>
      <c r="E57" s="22">
        <f>62000/2</f>
        <v>31000</v>
      </c>
      <c r="F57" s="106">
        <f>-1430/2</f>
        <v>-715</v>
      </c>
      <c r="G57" s="101">
        <f>-2.25445372851962%</f>
        <v>-2.25445372851962E-2</v>
      </c>
      <c r="H57" s="85"/>
      <c r="I57" s="85"/>
      <c r="J57" s="85"/>
      <c r="K57" s="85"/>
      <c r="L57" s="85"/>
      <c r="M57" s="85"/>
      <c r="N57" s="85"/>
      <c r="R57" s="31"/>
      <c r="S57" s="31"/>
      <c r="T57" s="31"/>
      <c r="U57" s="31"/>
    </row>
    <row r="58" spans="1:21" ht="21.75" customHeight="1" x14ac:dyDescent="0.4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R58" s="31"/>
      <c r="S58" s="31"/>
      <c r="T58" s="31"/>
      <c r="U58" s="31"/>
    </row>
    <row r="59" spans="1:21" ht="9" customHeight="1" x14ac:dyDescent="0.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R59" s="31"/>
      <c r="S59" s="31"/>
      <c r="T59" s="31"/>
      <c r="U59" s="31"/>
    </row>
    <row r="60" spans="1:21" ht="42" thickBot="1" x14ac:dyDescent="0.95">
      <c r="A60" s="16"/>
      <c r="B60" s="16"/>
      <c r="C60" s="94" t="s">
        <v>53</v>
      </c>
      <c r="D60" s="94"/>
      <c r="E60" s="94"/>
      <c r="F60" s="95"/>
      <c r="G60" s="96" t="s">
        <v>29</v>
      </c>
      <c r="H60" s="16"/>
      <c r="I60" s="97"/>
      <c r="J60" s="97"/>
      <c r="K60" s="97"/>
      <c r="L60" s="97"/>
      <c r="M60" s="96" t="s">
        <v>29</v>
      </c>
      <c r="N60" s="16"/>
      <c r="R60" s="31"/>
      <c r="S60" s="31"/>
      <c r="T60" s="31"/>
      <c r="U60" s="31"/>
    </row>
    <row r="61" spans="1:21" ht="21.75" customHeight="1" thickBot="1" x14ac:dyDescent="0.45">
      <c r="A61" s="16"/>
      <c r="B61" s="16"/>
      <c r="C61" s="6"/>
      <c r="D61" s="5"/>
      <c r="E61" s="5" t="s">
        <v>1</v>
      </c>
      <c r="F61" s="73" t="s">
        <v>51</v>
      </c>
      <c r="G61" s="74"/>
      <c r="H61" s="16"/>
      <c r="I61" s="4"/>
      <c r="J61" s="72" t="s">
        <v>35</v>
      </c>
      <c r="K61" s="7" t="s">
        <v>36</v>
      </c>
      <c r="L61" s="73" t="s">
        <v>37</v>
      </c>
      <c r="M61" s="74"/>
      <c r="N61" s="16"/>
      <c r="R61" s="31"/>
      <c r="S61" s="31"/>
      <c r="T61" s="31"/>
      <c r="U61" s="31"/>
    </row>
    <row r="62" spans="1:21" ht="21.75" customHeight="1" x14ac:dyDescent="0.4">
      <c r="A62" s="16"/>
      <c r="B62" s="16"/>
      <c r="C62" s="25" t="s">
        <v>31</v>
      </c>
      <c r="D62" s="24" t="s">
        <v>25</v>
      </c>
      <c r="E62" s="77" t="s">
        <v>26</v>
      </c>
      <c r="F62" s="23" t="s">
        <v>7</v>
      </c>
      <c r="G62" s="75" t="s">
        <v>5</v>
      </c>
      <c r="H62" s="16"/>
      <c r="I62" s="8" t="s">
        <v>38</v>
      </c>
      <c r="J62" s="9" t="s">
        <v>25</v>
      </c>
      <c r="K62" s="77" t="s">
        <v>26</v>
      </c>
      <c r="L62" s="23"/>
      <c r="M62" s="75"/>
      <c r="N62" s="16"/>
      <c r="R62" s="31"/>
      <c r="S62" s="31"/>
      <c r="T62" s="31"/>
      <c r="U62" s="31"/>
    </row>
    <row r="63" spans="1:21" ht="21.75" customHeight="1" thickBot="1" x14ac:dyDescent="0.45">
      <c r="A63" s="16"/>
      <c r="B63" s="16"/>
      <c r="C63" s="91"/>
      <c r="D63" s="89">
        <f>1400/2</f>
        <v>700</v>
      </c>
      <c r="E63" s="90">
        <f>940/2</f>
        <v>470</v>
      </c>
      <c r="F63" s="103">
        <f>-460/2</f>
        <v>-230</v>
      </c>
      <c r="G63" s="102">
        <v>-0.32857142857142863</v>
      </c>
      <c r="H63" s="16"/>
      <c r="I63" s="12" t="s">
        <v>39</v>
      </c>
      <c r="J63" s="70"/>
      <c r="K63" s="71">
        <f>50</f>
        <v>50</v>
      </c>
      <c r="L63" s="78"/>
      <c r="M63" s="79"/>
      <c r="N63" s="16"/>
      <c r="R63" s="31"/>
      <c r="S63" s="31"/>
      <c r="T63" s="31"/>
      <c r="U63" s="31"/>
    </row>
    <row r="64" spans="1:21" ht="21.75" customHeight="1" x14ac:dyDescent="0.4">
      <c r="A64" s="16"/>
      <c r="B64" s="16"/>
      <c r="C64" s="16"/>
      <c r="D64" s="16"/>
      <c r="E64" s="16"/>
      <c r="F64" s="16"/>
      <c r="G64" s="16"/>
      <c r="H64" s="16"/>
      <c r="I64" s="12" t="s">
        <v>40</v>
      </c>
      <c r="J64" s="69">
        <v>70</v>
      </c>
      <c r="K64" s="71">
        <f>90</f>
        <v>90</v>
      </c>
      <c r="L64" s="76">
        <v>20</v>
      </c>
      <c r="M64" s="82">
        <v>0.28571428571428581</v>
      </c>
      <c r="N64" s="16"/>
      <c r="R64" s="31"/>
      <c r="S64" s="31"/>
      <c r="T64" s="31"/>
      <c r="U64" s="31"/>
    </row>
    <row r="65" spans="1:21" ht="21.75" customHeight="1" x14ac:dyDescent="0.4">
      <c r="A65" s="16"/>
      <c r="B65" s="16"/>
      <c r="C65" s="16"/>
      <c r="D65" s="16"/>
      <c r="E65" s="16"/>
      <c r="F65" s="16"/>
      <c r="G65" s="16"/>
      <c r="H65" s="16"/>
      <c r="I65" s="12" t="s">
        <v>46</v>
      </c>
      <c r="J65" s="69">
        <v>80</v>
      </c>
      <c r="K65" s="71">
        <f>110</f>
        <v>110</v>
      </c>
      <c r="L65" s="76">
        <v>30</v>
      </c>
      <c r="M65" s="82">
        <v>0.375</v>
      </c>
      <c r="N65" s="16"/>
      <c r="R65" s="31"/>
      <c r="S65" s="31"/>
      <c r="T65" s="31"/>
      <c r="U65" s="31"/>
    </row>
    <row r="66" spans="1:21" ht="21.75" customHeight="1" x14ac:dyDescent="0.4">
      <c r="A66" s="16"/>
      <c r="B66" s="16"/>
      <c r="C66" s="16"/>
      <c r="D66" s="16"/>
      <c r="E66" s="16"/>
      <c r="F66" s="16"/>
      <c r="G66" s="16"/>
      <c r="H66" s="16"/>
      <c r="I66" s="12" t="s">
        <v>43</v>
      </c>
      <c r="J66" s="69">
        <v>90</v>
      </c>
      <c r="K66" s="71">
        <f>120</f>
        <v>120</v>
      </c>
      <c r="L66" s="76">
        <v>30</v>
      </c>
      <c r="M66" s="82">
        <v>0.33333333333333326</v>
      </c>
      <c r="N66" s="16"/>
      <c r="R66" s="31"/>
      <c r="S66" s="31"/>
      <c r="T66" s="31"/>
      <c r="U66" s="31"/>
    </row>
    <row r="67" spans="1:21" ht="21.75" customHeight="1" x14ac:dyDescent="0.4">
      <c r="A67" s="16"/>
      <c r="B67" s="16"/>
      <c r="C67" s="16"/>
      <c r="D67" s="16"/>
      <c r="E67" s="16"/>
      <c r="F67" s="16"/>
      <c r="G67" s="16"/>
      <c r="H67" s="16"/>
      <c r="I67" s="12" t="s">
        <v>47</v>
      </c>
      <c r="J67" s="69">
        <v>100</v>
      </c>
      <c r="K67" s="71">
        <f>130</f>
        <v>130</v>
      </c>
      <c r="L67" s="76">
        <v>30</v>
      </c>
      <c r="M67" s="82">
        <v>0.30000000000000004</v>
      </c>
      <c r="N67" s="16"/>
      <c r="R67" s="31"/>
      <c r="S67" s="31"/>
      <c r="T67" s="31"/>
      <c r="U67" s="31"/>
    </row>
    <row r="68" spans="1:21" ht="21.75" customHeight="1" x14ac:dyDescent="0.4">
      <c r="A68" s="16"/>
      <c r="B68" s="16"/>
      <c r="C68" s="16"/>
      <c r="D68" s="16"/>
      <c r="E68" s="16"/>
      <c r="F68" s="16"/>
      <c r="G68" s="16"/>
      <c r="H68" s="16"/>
      <c r="I68" s="12" t="s">
        <v>42</v>
      </c>
      <c r="J68" s="69">
        <v>110</v>
      </c>
      <c r="K68" s="71">
        <f>150</f>
        <v>150</v>
      </c>
      <c r="L68" s="76">
        <v>40</v>
      </c>
      <c r="M68" s="82">
        <v>0.36363636363636354</v>
      </c>
      <c r="N68" s="16"/>
      <c r="R68" s="31"/>
      <c r="S68" s="31"/>
      <c r="T68" s="31"/>
      <c r="U68" s="31"/>
    </row>
    <row r="69" spans="1:21" ht="21.75" customHeight="1" x14ac:dyDescent="0.4">
      <c r="A69" s="16"/>
      <c r="B69" s="16"/>
      <c r="C69" s="16"/>
      <c r="D69" s="16"/>
      <c r="E69" s="16"/>
      <c r="F69" s="16"/>
      <c r="G69" s="16"/>
      <c r="H69" s="16"/>
      <c r="I69" s="12" t="s">
        <v>48</v>
      </c>
      <c r="J69" s="69">
        <v>130</v>
      </c>
      <c r="K69" s="71">
        <f>180</f>
        <v>180</v>
      </c>
      <c r="L69" s="76">
        <v>50</v>
      </c>
      <c r="M69" s="82">
        <v>0.38461538461538458</v>
      </c>
      <c r="N69" s="16"/>
      <c r="R69" s="31"/>
      <c r="S69" s="31"/>
      <c r="T69" s="31"/>
      <c r="U69" s="31"/>
    </row>
    <row r="70" spans="1:21" ht="21.75" customHeight="1" thickBot="1" x14ac:dyDescent="0.45">
      <c r="A70" s="16"/>
      <c r="B70" s="16"/>
      <c r="C70" s="16"/>
      <c r="D70" s="16"/>
      <c r="E70" s="16"/>
      <c r="F70" s="16"/>
      <c r="G70" s="16"/>
      <c r="H70" s="16"/>
      <c r="I70" s="92" t="s">
        <v>49</v>
      </c>
      <c r="J70" s="15">
        <v>150</v>
      </c>
      <c r="K70" s="22">
        <f>190</f>
        <v>190</v>
      </c>
      <c r="L70" s="93">
        <v>40</v>
      </c>
      <c r="M70" s="83">
        <v>0.26666666666666661</v>
      </c>
      <c r="N70" s="16"/>
      <c r="R70" s="31"/>
      <c r="S70" s="31"/>
      <c r="T70" s="31"/>
      <c r="U70" s="31"/>
    </row>
    <row r="71" spans="1:21" ht="18" customHeight="1" x14ac:dyDescent="0.4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R71" s="31"/>
      <c r="S71" s="31"/>
      <c r="T71" s="31"/>
      <c r="U71" s="31"/>
    </row>
    <row r="72" spans="1:21" ht="42" thickBot="1" x14ac:dyDescent="0.95">
      <c r="A72" s="85"/>
      <c r="B72" s="85"/>
      <c r="C72" s="88" t="s">
        <v>54</v>
      </c>
      <c r="D72" s="88"/>
      <c r="E72" s="88"/>
      <c r="F72" s="85"/>
      <c r="G72" s="86" t="s">
        <v>20</v>
      </c>
      <c r="H72" s="87"/>
      <c r="I72" s="87"/>
      <c r="J72" s="87"/>
      <c r="K72" s="87"/>
      <c r="L72" s="87"/>
      <c r="M72" s="86" t="s">
        <v>20</v>
      </c>
      <c r="N72" s="85"/>
      <c r="R72" s="31"/>
      <c r="S72" s="31"/>
      <c r="T72" s="31"/>
      <c r="U72" s="31"/>
    </row>
    <row r="73" spans="1:21" ht="28.5" customHeight="1" thickBot="1" x14ac:dyDescent="0.45">
      <c r="A73" s="85"/>
      <c r="B73" s="85"/>
      <c r="C73" s="6"/>
      <c r="D73" s="5"/>
      <c r="E73" s="5" t="s">
        <v>1</v>
      </c>
      <c r="F73" s="73" t="s">
        <v>50</v>
      </c>
      <c r="G73" s="74"/>
      <c r="H73" s="87"/>
      <c r="I73" s="4"/>
      <c r="J73" s="72" t="s">
        <v>19</v>
      </c>
      <c r="K73" s="7" t="s">
        <v>18</v>
      </c>
      <c r="L73" s="73" t="s">
        <v>17</v>
      </c>
      <c r="M73" s="74"/>
      <c r="N73" s="85"/>
      <c r="R73" s="31"/>
      <c r="S73" s="31"/>
      <c r="T73" s="31"/>
      <c r="U73" s="31"/>
    </row>
    <row r="74" spans="1:21" ht="28.5" customHeight="1" x14ac:dyDescent="0.4">
      <c r="A74" s="85"/>
      <c r="B74" s="85"/>
      <c r="C74" s="25" t="s">
        <v>31</v>
      </c>
      <c r="D74" s="24" t="s">
        <v>25</v>
      </c>
      <c r="E74" s="77" t="s">
        <v>26</v>
      </c>
      <c r="F74" s="23" t="s">
        <v>32</v>
      </c>
      <c r="G74" s="75" t="s">
        <v>33</v>
      </c>
      <c r="H74" s="87"/>
      <c r="I74" s="8" t="s">
        <v>16</v>
      </c>
      <c r="J74" s="9" t="s">
        <v>25</v>
      </c>
      <c r="K74" s="77" t="s">
        <v>26</v>
      </c>
      <c r="L74" s="23"/>
      <c r="M74" s="75"/>
      <c r="N74" s="85"/>
      <c r="R74" s="31"/>
      <c r="S74" s="31"/>
      <c r="T74" s="31"/>
      <c r="U74" s="31"/>
    </row>
    <row r="75" spans="1:21" ht="28.5" customHeight="1" x14ac:dyDescent="0.4">
      <c r="A75" s="85"/>
      <c r="B75" s="85"/>
      <c r="C75" s="10">
        <v>13</v>
      </c>
      <c r="D75" s="17">
        <f>+F119</f>
        <v>1376</v>
      </c>
      <c r="E75" s="20">
        <f>+G119</f>
        <v>620</v>
      </c>
      <c r="F75" s="104">
        <f>+E75-D75</f>
        <v>-756</v>
      </c>
      <c r="G75" s="99">
        <f>+E75/D75-1</f>
        <v>-0.54941860465116277</v>
      </c>
      <c r="H75" s="87"/>
      <c r="I75" s="12" t="s">
        <v>34</v>
      </c>
      <c r="J75" s="70"/>
      <c r="K75" s="71">
        <f>+M120</f>
        <v>70</v>
      </c>
      <c r="L75" s="78"/>
      <c r="M75" s="79"/>
      <c r="N75" s="85"/>
      <c r="R75" s="31"/>
      <c r="S75" s="31"/>
      <c r="T75" s="31"/>
      <c r="U75" s="31"/>
    </row>
    <row r="76" spans="1:21" ht="28.5" customHeight="1" x14ac:dyDescent="0.4">
      <c r="A76" s="85"/>
      <c r="B76" s="85"/>
      <c r="C76" s="11">
        <v>20</v>
      </c>
      <c r="D76" s="18">
        <f t="shared" ref="D76:D82" si="7">+F120</f>
        <v>1488</v>
      </c>
      <c r="E76" s="21">
        <f t="shared" ref="E76:E82" si="8">+G120</f>
        <v>740</v>
      </c>
      <c r="F76" s="105">
        <f>+E76-D76</f>
        <v>-748</v>
      </c>
      <c r="G76" s="100">
        <f t="shared" ref="G76:G82" si="9">+E76/D76-1</f>
        <v>-0.50268817204301075</v>
      </c>
      <c r="H76" s="87"/>
      <c r="I76" s="12" t="s">
        <v>10</v>
      </c>
      <c r="J76" s="69">
        <f>+J121</f>
        <v>110</v>
      </c>
      <c r="K76" s="71">
        <f t="shared" ref="K76:K80" si="10">+M121</f>
        <v>140</v>
      </c>
      <c r="L76" s="76">
        <f>+K76-J76</f>
        <v>30</v>
      </c>
      <c r="M76" s="82">
        <f t="shared" ref="M76" si="11">+K76/J76-1</f>
        <v>0.27272727272727271</v>
      </c>
      <c r="N76" s="85"/>
      <c r="R76" s="31"/>
      <c r="S76" s="31"/>
      <c r="T76" s="31"/>
      <c r="U76" s="31"/>
    </row>
    <row r="77" spans="1:21" ht="28.5" customHeight="1" x14ac:dyDescent="0.4">
      <c r="A77" s="85"/>
      <c r="B77" s="85"/>
      <c r="C77" s="11">
        <v>25</v>
      </c>
      <c r="D77" s="18">
        <f t="shared" si="7"/>
        <v>4748</v>
      </c>
      <c r="E77" s="21">
        <f t="shared" si="8"/>
        <v>3200</v>
      </c>
      <c r="F77" s="105">
        <f t="shared" ref="F77:F82" si="12">+E77-D77</f>
        <v>-1548</v>
      </c>
      <c r="G77" s="100">
        <f t="shared" si="9"/>
        <v>-0.32603201347935973</v>
      </c>
      <c r="H77" s="87"/>
      <c r="I77" s="12" t="s">
        <v>11</v>
      </c>
      <c r="J77" s="69">
        <f t="shared" ref="J77:J80" si="13">+J122</f>
        <v>140</v>
      </c>
      <c r="K77" s="71">
        <f t="shared" si="10"/>
        <v>190</v>
      </c>
      <c r="L77" s="76">
        <f t="shared" ref="L77:L80" si="14">+K77-J77</f>
        <v>50</v>
      </c>
      <c r="M77" s="82">
        <f t="shared" ref="M77:M80" si="15">+K77/J77-1</f>
        <v>0.35714285714285721</v>
      </c>
      <c r="N77" s="85"/>
      <c r="R77" s="31"/>
      <c r="S77" s="31"/>
      <c r="T77" s="31"/>
      <c r="U77" s="31"/>
    </row>
    <row r="78" spans="1:21" ht="28.5" customHeight="1" x14ac:dyDescent="0.4">
      <c r="A78" s="85"/>
      <c r="B78" s="85"/>
      <c r="C78" s="11">
        <v>30</v>
      </c>
      <c r="D78" s="18">
        <f t="shared" si="7"/>
        <v>7862</v>
      </c>
      <c r="E78" s="21">
        <f t="shared" si="8"/>
        <v>6400</v>
      </c>
      <c r="F78" s="105">
        <f t="shared" si="12"/>
        <v>-1462</v>
      </c>
      <c r="G78" s="100">
        <f t="shared" si="9"/>
        <v>-0.18595777155939963</v>
      </c>
      <c r="H78" s="87"/>
      <c r="I78" s="13" t="s">
        <v>12</v>
      </c>
      <c r="J78" s="69">
        <f t="shared" si="13"/>
        <v>170</v>
      </c>
      <c r="K78" s="71">
        <f t="shared" si="10"/>
        <v>230</v>
      </c>
      <c r="L78" s="76">
        <f t="shared" si="14"/>
        <v>60</v>
      </c>
      <c r="M78" s="82">
        <f t="shared" si="15"/>
        <v>0.35294117647058831</v>
      </c>
      <c r="N78" s="85"/>
      <c r="R78" s="31"/>
      <c r="S78" s="31"/>
      <c r="T78" s="31"/>
      <c r="U78" s="31"/>
    </row>
    <row r="79" spans="1:21" ht="28.5" customHeight="1" x14ac:dyDescent="0.4">
      <c r="A79" s="85"/>
      <c r="B79" s="85"/>
      <c r="C79" s="11">
        <v>40</v>
      </c>
      <c r="D79" s="18">
        <f t="shared" si="7"/>
        <v>13420</v>
      </c>
      <c r="E79" s="21">
        <f t="shared" si="8"/>
        <v>12000</v>
      </c>
      <c r="F79" s="105">
        <f t="shared" si="12"/>
        <v>-1420</v>
      </c>
      <c r="G79" s="100">
        <f t="shared" si="9"/>
        <v>-0.10581222056631889</v>
      </c>
      <c r="H79" s="87"/>
      <c r="I79" s="13" t="s">
        <v>13</v>
      </c>
      <c r="J79" s="69">
        <f t="shared" si="13"/>
        <v>190</v>
      </c>
      <c r="K79" s="71">
        <f t="shared" si="10"/>
        <v>250</v>
      </c>
      <c r="L79" s="76">
        <f t="shared" si="14"/>
        <v>60</v>
      </c>
      <c r="M79" s="82">
        <f t="shared" si="15"/>
        <v>0.31578947368421062</v>
      </c>
      <c r="N79" s="85"/>
      <c r="R79" s="31"/>
      <c r="S79" s="31"/>
      <c r="T79" s="31"/>
      <c r="U79" s="31"/>
    </row>
    <row r="80" spans="1:21" ht="28.5" customHeight="1" thickBot="1" x14ac:dyDescent="0.45">
      <c r="A80" s="85"/>
      <c r="B80" s="85"/>
      <c r="C80" s="11">
        <v>50</v>
      </c>
      <c r="D80" s="18">
        <f t="shared" si="7"/>
        <v>33286</v>
      </c>
      <c r="E80" s="21">
        <f t="shared" si="8"/>
        <v>31800</v>
      </c>
      <c r="F80" s="105">
        <f t="shared" si="12"/>
        <v>-1486</v>
      </c>
      <c r="G80" s="100">
        <f t="shared" si="9"/>
        <v>-4.4643393618938876E-2</v>
      </c>
      <c r="H80" s="87"/>
      <c r="I80" s="19" t="s">
        <v>27</v>
      </c>
      <c r="J80" s="15">
        <f t="shared" si="13"/>
        <v>210</v>
      </c>
      <c r="K80" s="84">
        <f t="shared" si="10"/>
        <v>270</v>
      </c>
      <c r="L80" s="81">
        <f t="shared" si="14"/>
        <v>60</v>
      </c>
      <c r="M80" s="83">
        <f t="shared" si="15"/>
        <v>0.28571428571428581</v>
      </c>
      <c r="N80" s="85"/>
      <c r="R80" s="31"/>
      <c r="S80" s="31"/>
      <c r="T80" s="31"/>
      <c r="U80" s="31"/>
    </row>
    <row r="81" spans="1:21" ht="28.5" customHeight="1" x14ac:dyDescent="0.4">
      <c r="A81" s="85"/>
      <c r="B81" s="85"/>
      <c r="C81" s="11">
        <v>75</v>
      </c>
      <c r="D81" s="18">
        <f t="shared" si="7"/>
        <v>48430</v>
      </c>
      <c r="E81" s="21">
        <f t="shared" si="8"/>
        <v>47000</v>
      </c>
      <c r="F81" s="105">
        <f t="shared" si="12"/>
        <v>-1430</v>
      </c>
      <c r="G81" s="100">
        <f t="shared" si="9"/>
        <v>-2.9527152591368955E-2</v>
      </c>
      <c r="H81" s="85"/>
      <c r="I81" s="85"/>
      <c r="J81" s="85"/>
      <c r="K81" s="85"/>
      <c r="L81" s="85"/>
      <c r="M81" s="85"/>
      <c r="N81" s="85"/>
      <c r="R81" s="31"/>
      <c r="S81" s="31"/>
      <c r="T81" s="31"/>
      <c r="U81" s="31"/>
    </row>
    <row r="82" spans="1:21" ht="28.5" customHeight="1" thickBot="1" x14ac:dyDescent="0.45">
      <c r="A82" s="85"/>
      <c r="B82" s="85"/>
      <c r="C82" s="14">
        <v>100</v>
      </c>
      <c r="D82" s="80">
        <f t="shared" si="7"/>
        <v>63430</v>
      </c>
      <c r="E82" s="22">
        <f t="shared" si="8"/>
        <v>62000</v>
      </c>
      <c r="F82" s="106">
        <f t="shared" si="12"/>
        <v>-1430</v>
      </c>
      <c r="G82" s="101">
        <f t="shared" si="9"/>
        <v>-2.2544537285196231E-2</v>
      </c>
      <c r="H82" s="85"/>
      <c r="I82" s="85"/>
      <c r="J82" s="85"/>
      <c r="K82" s="85"/>
      <c r="L82" s="85"/>
      <c r="M82" s="85"/>
      <c r="N82" s="85"/>
      <c r="R82" s="31"/>
      <c r="S82" s="31"/>
      <c r="T82" s="31"/>
      <c r="U82" s="31"/>
    </row>
    <row r="83" spans="1:21" ht="5.25" customHeight="1" x14ac:dyDescent="0.4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R83" s="31"/>
      <c r="S83" s="31"/>
      <c r="T83" s="31"/>
      <c r="U83" s="31"/>
    </row>
    <row r="84" spans="1:21" ht="5.25" customHeight="1" x14ac:dyDescent="0.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R84" s="31"/>
      <c r="S84" s="31"/>
      <c r="T84" s="31"/>
      <c r="U84" s="31"/>
    </row>
    <row r="85" spans="1:21" ht="42" thickBot="1" x14ac:dyDescent="0.95">
      <c r="A85" s="16"/>
      <c r="B85" s="16"/>
      <c r="C85" s="94" t="s">
        <v>55</v>
      </c>
      <c r="D85" s="94"/>
      <c r="E85" s="94"/>
      <c r="F85" s="95"/>
      <c r="G85" s="96" t="s">
        <v>20</v>
      </c>
      <c r="H85" s="16"/>
      <c r="I85" s="97"/>
      <c r="J85" s="97"/>
      <c r="K85" s="97"/>
      <c r="L85" s="97"/>
      <c r="M85" s="96" t="s">
        <v>20</v>
      </c>
      <c r="N85" s="16"/>
      <c r="R85" s="31"/>
      <c r="S85" s="31"/>
      <c r="T85" s="31"/>
      <c r="U85" s="31"/>
    </row>
    <row r="86" spans="1:21" ht="28.5" customHeight="1" thickBot="1" x14ac:dyDescent="0.45">
      <c r="A86" s="16"/>
      <c r="B86" s="16"/>
      <c r="C86" s="6"/>
      <c r="D86" s="5"/>
      <c r="E86" s="5" t="s">
        <v>1</v>
      </c>
      <c r="F86" s="73" t="s">
        <v>50</v>
      </c>
      <c r="G86" s="74"/>
      <c r="H86" s="16"/>
      <c r="I86" s="4"/>
      <c r="J86" s="72" t="s">
        <v>19</v>
      </c>
      <c r="K86" s="7" t="s">
        <v>18</v>
      </c>
      <c r="L86" s="73" t="s">
        <v>17</v>
      </c>
      <c r="M86" s="74"/>
      <c r="N86" s="16"/>
      <c r="R86" s="31"/>
      <c r="S86" s="31"/>
      <c r="T86" s="31"/>
      <c r="U86" s="31"/>
    </row>
    <row r="87" spans="1:21" ht="28.5" customHeight="1" x14ac:dyDescent="0.4">
      <c r="A87" s="16"/>
      <c r="B87" s="16"/>
      <c r="C87" s="25" t="s">
        <v>31</v>
      </c>
      <c r="D87" s="24" t="s">
        <v>25</v>
      </c>
      <c r="E87" s="77" t="s">
        <v>26</v>
      </c>
      <c r="F87" s="23" t="s">
        <v>32</v>
      </c>
      <c r="G87" s="75" t="s">
        <v>33</v>
      </c>
      <c r="H87" s="16"/>
      <c r="I87" s="8" t="s">
        <v>16</v>
      </c>
      <c r="J87" s="9" t="s">
        <v>25</v>
      </c>
      <c r="K87" s="77" t="s">
        <v>26</v>
      </c>
      <c r="L87" s="23"/>
      <c r="M87" s="75"/>
      <c r="N87" s="16"/>
      <c r="R87" s="31"/>
      <c r="S87" s="31"/>
      <c r="T87" s="31"/>
      <c r="U87" s="31"/>
    </row>
    <row r="88" spans="1:21" ht="28.5" customHeight="1" thickBot="1" x14ac:dyDescent="0.45">
      <c r="A88" s="16"/>
      <c r="B88" s="16"/>
      <c r="C88" s="91"/>
      <c r="D88" s="89">
        <f>+F131</f>
        <v>1400</v>
      </c>
      <c r="E88" s="90">
        <f>+G131</f>
        <v>940</v>
      </c>
      <c r="F88" s="103">
        <f>+E88-D88</f>
        <v>-460</v>
      </c>
      <c r="G88" s="102">
        <f>+E88/D88-1</f>
        <v>-0.32857142857142863</v>
      </c>
      <c r="H88" s="16"/>
      <c r="I88" s="12" t="s">
        <v>34</v>
      </c>
      <c r="J88" s="70"/>
      <c r="K88" s="71">
        <f>+M132</f>
        <v>50</v>
      </c>
      <c r="L88" s="78"/>
      <c r="M88" s="79"/>
      <c r="N88" s="16"/>
      <c r="R88" s="31"/>
      <c r="S88" s="31"/>
      <c r="T88" s="31"/>
      <c r="U88" s="31"/>
    </row>
    <row r="89" spans="1:21" ht="28.5" customHeight="1" x14ac:dyDescent="0.4">
      <c r="A89" s="16"/>
      <c r="B89" s="16"/>
      <c r="C89" s="16"/>
      <c r="D89" s="16"/>
      <c r="E89" s="16"/>
      <c r="F89" s="16"/>
      <c r="G89" s="16"/>
      <c r="H89" s="16"/>
      <c r="I89" s="12" t="str">
        <f>+I133</f>
        <v>21～40㎥</v>
      </c>
      <c r="J89" s="69">
        <f>+J133</f>
        <v>70</v>
      </c>
      <c r="K89" s="71">
        <f t="shared" ref="K89:K95" si="16">+M133</f>
        <v>90</v>
      </c>
      <c r="L89" s="76">
        <f>+K89-J89</f>
        <v>20</v>
      </c>
      <c r="M89" s="82">
        <f t="shared" ref="M89:M92" si="17">+K89/J89-1</f>
        <v>0.28571428571428581</v>
      </c>
      <c r="N89" s="16"/>
      <c r="R89" s="31"/>
      <c r="S89" s="31"/>
      <c r="T89" s="31"/>
      <c r="U89" s="31"/>
    </row>
    <row r="90" spans="1:21" ht="28.5" customHeight="1" x14ac:dyDescent="0.4">
      <c r="A90" s="16"/>
      <c r="B90" s="16"/>
      <c r="C90" s="16"/>
      <c r="D90" s="16"/>
      <c r="E90" s="16"/>
      <c r="F90" s="16"/>
      <c r="G90" s="16"/>
      <c r="H90" s="16"/>
      <c r="I90" s="12" t="str">
        <f t="shared" ref="I90:J95" si="18">+I134</f>
        <v>41～60㎥</v>
      </c>
      <c r="J90" s="69">
        <f t="shared" si="18"/>
        <v>80</v>
      </c>
      <c r="K90" s="71">
        <f t="shared" si="16"/>
        <v>110</v>
      </c>
      <c r="L90" s="76">
        <f t="shared" ref="L90:L92" si="19">+K90-J90</f>
        <v>30</v>
      </c>
      <c r="M90" s="82">
        <f t="shared" si="17"/>
        <v>0.375</v>
      </c>
      <c r="N90" s="16"/>
      <c r="R90" s="31"/>
      <c r="S90" s="31"/>
      <c r="T90" s="31"/>
      <c r="U90" s="31"/>
    </row>
    <row r="91" spans="1:21" ht="28.5" customHeight="1" x14ac:dyDescent="0.4">
      <c r="A91" s="16"/>
      <c r="B91" s="16"/>
      <c r="C91" s="16"/>
      <c r="D91" s="16"/>
      <c r="E91" s="16"/>
      <c r="F91" s="16"/>
      <c r="G91" s="16"/>
      <c r="H91" s="16"/>
      <c r="I91" s="12" t="str">
        <f t="shared" si="18"/>
        <v>61～100㎥</v>
      </c>
      <c r="J91" s="69">
        <f t="shared" si="18"/>
        <v>90</v>
      </c>
      <c r="K91" s="71">
        <f t="shared" si="16"/>
        <v>120</v>
      </c>
      <c r="L91" s="76">
        <f t="shared" si="19"/>
        <v>30</v>
      </c>
      <c r="M91" s="82">
        <f t="shared" si="17"/>
        <v>0.33333333333333326</v>
      </c>
      <c r="N91" s="16"/>
      <c r="R91" s="31"/>
      <c r="S91" s="31"/>
      <c r="T91" s="31"/>
      <c r="U91" s="31"/>
    </row>
    <row r="92" spans="1:21" ht="28.5" customHeight="1" x14ac:dyDescent="0.4">
      <c r="A92" s="16"/>
      <c r="B92" s="16"/>
      <c r="C92" s="16"/>
      <c r="D92" s="16"/>
      <c r="E92" s="16"/>
      <c r="F92" s="16"/>
      <c r="G92" s="16"/>
      <c r="H92" s="16"/>
      <c r="I92" s="12" t="str">
        <f t="shared" si="18"/>
        <v>101～200㎥</v>
      </c>
      <c r="J92" s="69">
        <f t="shared" si="18"/>
        <v>100</v>
      </c>
      <c r="K92" s="71">
        <f t="shared" si="16"/>
        <v>130</v>
      </c>
      <c r="L92" s="76">
        <f t="shared" si="19"/>
        <v>30</v>
      </c>
      <c r="M92" s="82">
        <f t="shared" si="17"/>
        <v>0.30000000000000004</v>
      </c>
      <c r="N92" s="16"/>
      <c r="R92" s="31"/>
      <c r="S92" s="31"/>
      <c r="T92" s="31"/>
      <c r="U92" s="31"/>
    </row>
    <row r="93" spans="1:21" ht="28.5" customHeight="1" x14ac:dyDescent="0.4">
      <c r="A93" s="16"/>
      <c r="B93" s="16"/>
      <c r="C93" s="16"/>
      <c r="D93" s="16"/>
      <c r="E93" s="16"/>
      <c r="F93" s="16"/>
      <c r="G93" s="16"/>
      <c r="H93" s="16"/>
      <c r="I93" s="12" t="str">
        <f t="shared" si="18"/>
        <v>201～400㎥</v>
      </c>
      <c r="J93" s="69">
        <f t="shared" si="18"/>
        <v>110</v>
      </c>
      <c r="K93" s="71">
        <f t="shared" si="16"/>
        <v>150</v>
      </c>
      <c r="L93" s="76">
        <f t="shared" ref="L93:L95" si="20">+K93-J93</f>
        <v>40</v>
      </c>
      <c r="M93" s="82">
        <f t="shared" ref="M93:M95" si="21">+K93/J93-1</f>
        <v>0.36363636363636354</v>
      </c>
      <c r="N93" s="16"/>
      <c r="R93" s="31"/>
      <c r="S93" s="31"/>
      <c r="T93" s="31"/>
      <c r="U93" s="31"/>
    </row>
    <row r="94" spans="1:21" ht="28.5" customHeight="1" x14ac:dyDescent="0.4">
      <c r="A94" s="16"/>
      <c r="B94" s="16"/>
      <c r="C94" s="16"/>
      <c r="D94" s="16"/>
      <c r="E94" s="16"/>
      <c r="F94" s="16"/>
      <c r="G94" s="16"/>
      <c r="H94" s="16"/>
      <c r="I94" s="12" t="str">
        <f t="shared" si="18"/>
        <v>401～1000㎥</v>
      </c>
      <c r="J94" s="69">
        <f t="shared" si="18"/>
        <v>130</v>
      </c>
      <c r="K94" s="71">
        <f t="shared" si="16"/>
        <v>180</v>
      </c>
      <c r="L94" s="76">
        <f t="shared" si="20"/>
        <v>50</v>
      </c>
      <c r="M94" s="82">
        <f t="shared" si="21"/>
        <v>0.38461538461538458</v>
      </c>
      <c r="N94" s="16"/>
      <c r="R94" s="31"/>
      <c r="S94" s="31"/>
      <c r="T94" s="31"/>
      <c r="U94" s="31"/>
    </row>
    <row r="95" spans="1:21" ht="28.5" customHeight="1" thickBot="1" x14ac:dyDescent="0.45">
      <c r="A95" s="16"/>
      <c r="B95" s="16"/>
      <c r="C95" s="16"/>
      <c r="D95" s="16"/>
      <c r="E95" s="16"/>
      <c r="F95" s="16"/>
      <c r="G95" s="16"/>
      <c r="H95" s="16"/>
      <c r="I95" s="92" t="str">
        <f t="shared" si="18"/>
        <v>1001㎥～</v>
      </c>
      <c r="J95" s="15">
        <f>+J139</f>
        <v>150</v>
      </c>
      <c r="K95" s="22">
        <f t="shared" si="16"/>
        <v>190</v>
      </c>
      <c r="L95" s="93">
        <f t="shared" si="20"/>
        <v>40</v>
      </c>
      <c r="M95" s="83">
        <f t="shared" si="21"/>
        <v>0.26666666666666661</v>
      </c>
      <c r="N95" s="16"/>
      <c r="R95" s="31"/>
      <c r="S95" s="31"/>
      <c r="T95" s="31"/>
      <c r="U95" s="31"/>
    </row>
    <row r="96" spans="1:21" ht="5.25" customHeight="1" x14ac:dyDescent="0.4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R96" s="31"/>
      <c r="S96" s="31"/>
      <c r="T96" s="31"/>
      <c r="U96" s="31"/>
    </row>
    <row r="97" spans="3:24" ht="28.5" customHeight="1" x14ac:dyDescent="0.4">
      <c r="C97" s="35"/>
      <c r="D97" s="35"/>
      <c r="E97" s="35"/>
      <c r="F97" s="35"/>
      <c r="G97" s="35"/>
      <c r="H97" s="47"/>
      <c r="I97" s="47"/>
      <c r="J97" s="47"/>
      <c r="K97" s="47"/>
      <c r="L97" s="47"/>
      <c r="M97" s="47"/>
      <c r="N97" s="35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3:24" ht="28.5" customHeight="1" x14ac:dyDescent="0.4">
      <c r="C98" s="35"/>
      <c r="D98" s="35"/>
      <c r="E98" s="35"/>
      <c r="F98" s="35"/>
      <c r="G98" s="35"/>
      <c r="H98" s="47"/>
      <c r="I98" s="47"/>
      <c r="J98" s="47"/>
      <c r="K98" s="47"/>
      <c r="L98" s="47"/>
      <c r="M98" s="47"/>
      <c r="N98" s="35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3:24" ht="28.5" customHeight="1" x14ac:dyDescent="0.4">
      <c r="C99" s="35"/>
      <c r="D99" s="35"/>
      <c r="E99" s="35"/>
      <c r="F99" s="35"/>
      <c r="G99" s="35"/>
      <c r="H99" s="47"/>
      <c r="I99" s="47"/>
      <c r="J99" s="47"/>
      <c r="K99" s="47"/>
      <c r="L99" s="47"/>
      <c r="M99" s="47"/>
      <c r="N99" s="35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3:24" ht="28.5" customHeight="1" x14ac:dyDescent="0.4">
      <c r="C100" s="35"/>
      <c r="D100" s="35"/>
      <c r="E100" s="35"/>
      <c r="F100" s="35"/>
      <c r="G100" s="35"/>
      <c r="H100" s="47"/>
      <c r="I100" s="47"/>
      <c r="J100" s="47"/>
      <c r="K100" s="47"/>
      <c r="L100" s="47"/>
      <c r="M100" s="47"/>
      <c r="N100" s="35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3:24" ht="28.5" customHeight="1" x14ac:dyDescent="0.4">
      <c r="C101" s="35"/>
      <c r="D101" s="35"/>
      <c r="E101" s="35"/>
      <c r="F101" s="35"/>
      <c r="G101" s="35"/>
      <c r="H101" s="47"/>
      <c r="I101" s="47"/>
      <c r="J101" s="47"/>
      <c r="K101" s="47"/>
      <c r="L101" s="47"/>
      <c r="M101" s="47"/>
      <c r="N101" s="35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3:24" ht="28.5" customHeight="1" x14ac:dyDescent="0.4">
      <c r="C102" s="35"/>
      <c r="D102" s="35"/>
      <c r="E102" s="35"/>
      <c r="F102" s="35"/>
      <c r="G102" s="35"/>
      <c r="H102" s="47"/>
      <c r="I102" s="47"/>
      <c r="J102" s="47"/>
      <c r="K102" s="47"/>
      <c r="L102" s="47"/>
      <c r="M102" s="47"/>
      <c r="N102" s="35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3:24" ht="28.5" customHeight="1" x14ac:dyDescent="0.4">
      <c r="C103" s="35"/>
      <c r="D103" s="35"/>
      <c r="E103" s="35"/>
      <c r="F103" s="35"/>
      <c r="G103" s="35"/>
      <c r="H103" s="47"/>
      <c r="I103" s="47"/>
      <c r="J103" s="47"/>
      <c r="K103" s="47"/>
      <c r="L103" s="47"/>
      <c r="M103" s="47"/>
      <c r="N103" s="35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3:24" ht="28.5" customHeight="1" x14ac:dyDescent="0.4">
      <c r="C104" s="35"/>
      <c r="D104" s="35"/>
      <c r="E104" s="35"/>
      <c r="F104" s="35"/>
      <c r="G104" s="35"/>
      <c r="H104" s="47"/>
      <c r="I104" s="47"/>
      <c r="J104" s="47"/>
      <c r="K104" s="47"/>
      <c r="L104" s="47"/>
      <c r="M104" s="47"/>
      <c r="N104" s="35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3:24" ht="28.5" customHeight="1" x14ac:dyDescent="0.4">
      <c r="C105" s="35"/>
      <c r="D105" s="35"/>
      <c r="E105" s="35"/>
      <c r="F105" s="35"/>
      <c r="G105" s="35"/>
      <c r="H105" s="47"/>
      <c r="I105" s="47"/>
      <c r="J105" s="47"/>
      <c r="K105" s="47"/>
      <c r="L105" s="47"/>
      <c r="M105" s="47"/>
      <c r="N105" s="35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3:24" ht="28.5" customHeight="1" x14ac:dyDescent="0.4">
      <c r="C106" s="35"/>
      <c r="D106" s="35"/>
      <c r="E106" s="35"/>
      <c r="F106" s="35"/>
      <c r="G106" s="35"/>
      <c r="H106" s="47"/>
      <c r="I106" s="47"/>
      <c r="J106" s="47"/>
      <c r="K106" s="47"/>
      <c r="L106" s="47"/>
      <c r="M106" s="47"/>
      <c r="N106" s="35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3:24" ht="28.5" customHeight="1" x14ac:dyDescent="0.4">
      <c r="C107" s="35"/>
      <c r="D107" s="35"/>
      <c r="E107" s="35"/>
      <c r="F107" s="35"/>
      <c r="G107" s="35"/>
      <c r="H107" s="47"/>
      <c r="I107" s="47"/>
      <c r="J107" s="47"/>
      <c r="K107" s="47"/>
      <c r="L107" s="47"/>
      <c r="M107" s="47"/>
      <c r="N107" s="35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3:24" ht="28.5" customHeight="1" x14ac:dyDescent="0.4">
      <c r="C108" s="35"/>
      <c r="D108" s="35"/>
      <c r="E108" s="35"/>
      <c r="F108" s="35"/>
      <c r="G108" s="35"/>
      <c r="H108" s="47"/>
      <c r="I108" s="47"/>
      <c r="J108" s="47"/>
      <c r="K108" s="47"/>
      <c r="L108" s="47"/>
      <c r="M108" s="47"/>
      <c r="N108" s="35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3:24" s="31" customFormat="1" ht="28.5" customHeight="1" x14ac:dyDescent="0.4">
      <c r="C109" s="33"/>
      <c r="D109" s="33"/>
      <c r="E109" s="33"/>
      <c r="F109" s="33"/>
      <c r="G109" s="33"/>
      <c r="H109" s="49"/>
      <c r="I109" s="49"/>
      <c r="J109" s="49"/>
      <c r="K109" s="49"/>
      <c r="L109" s="49"/>
      <c r="M109" s="49"/>
      <c r="N109" s="33"/>
    </row>
    <row r="110" spans="3:24" s="31" customFormat="1" ht="28.5" customHeight="1" x14ac:dyDescent="0.4">
      <c r="C110" s="33"/>
      <c r="D110" s="33"/>
      <c r="E110" s="33"/>
      <c r="F110" s="33"/>
      <c r="G110" s="33"/>
      <c r="H110" s="49"/>
      <c r="I110" s="49"/>
      <c r="J110" s="49"/>
      <c r="K110" s="49"/>
      <c r="L110" s="49"/>
      <c r="M110" s="49"/>
      <c r="N110" s="33"/>
    </row>
    <row r="111" spans="3:24" s="31" customFormat="1" ht="28.5" customHeight="1" x14ac:dyDescent="0.4">
      <c r="C111" s="33"/>
      <c r="D111" s="33"/>
      <c r="E111" s="33"/>
      <c r="F111" s="33"/>
      <c r="G111" s="33"/>
      <c r="H111" s="49"/>
      <c r="I111" s="49"/>
      <c r="J111" s="49"/>
      <c r="K111" s="49"/>
      <c r="L111" s="49"/>
      <c r="M111" s="49"/>
      <c r="N111" s="33"/>
    </row>
    <row r="112" spans="3:24" s="31" customFormat="1" ht="28.5" customHeight="1" x14ac:dyDescent="0.4">
      <c r="C112" s="33"/>
      <c r="D112" s="33"/>
      <c r="E112" s="33"/>
      <c r="F112" s="33"/>
      <c r="G112" s="33"/>
      <c r="H112" s="49"/>
      <c r="I112" s="49"/>
      <c r="J112" s="49"/>
      <c r="K112" s="49"/>
      <c r="L112" s="49"/>
      <c r="M112" s="49"/>
      <c r="N112" s="33"/>
    </row>
    <row r="113" spans="1:24" s="31" customFormat="1" ht="28.5" customHeight="1" x14ac:dyDescent="0.4">
      <c r="C113" s="33"/>
      <c r="D113" s="33"/>
      <c r="E113" s="33"/>
      <c r="F113" s="33"/>
      <c r="G113" s="33"/>
      <c r="H113" s="49"/>
      <c r="I113" s="49"/>
      <c r="J113" s="49"/>
      <c r="K113" s="49"/>
      <c r="L113" s="49"/>
      <c r="M113" s="49"/>
      <c r="N113" s="33"/>
    </row>
    <row r="114" spans="1:24" s="31" customFormat="1" ht="28.5" customHeight="1" x14ac:dyDescent="0.4">
      <c r="A114" s="3"/>
      <c r="B114" s="3"/>
      <c r="C114" s="33"/>
      <c r="D114" s="33"/>
      <c r="E114" s="33"/>
      <c r="F114" s="33"/>
      <c r="G114" s="33"/>
      <c r="H114" s="49"/>
      <c r="I114" s="49"/>
      <c r="J114" s="49"/>
      <c r="K114" s="49"/>
      <c r="L114" s="49"/>
      <c r="M114" s="49"/>
      <c r="N114" s="3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s="31" customFormat="1" ht="5.25" customHeight="1" x14ac:dyDescent="0.4">
      <c r="A115" s="3"/>
      <c r="B115" s="3"/>
      <c r="C115" s="33"/>
      <c r="D115" s="33"/>
      <c r="E115" s="33"/>
      <c r="F115" s="33"/>
      <c r="G115" s="33"/>
      <c r="H115" s="49"/>
      <c r="I115" s="49"/>
      <c r="J115" s="49"/>
      <c r="K115" s="49"/>
      <c r="L115" s="49"/>
      <c r="M115" s="49"/>
      <c r="N115" s="3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s="31" customFormat="1" ht="21" customHeight="1" x14ac:dyDescent="0.55000000000000004">
      <c r="A116" s="3"/>
      <c r="B116" s="3"/>
      <c r="C116" s="3"/>
      <c r="D116" s="3"/>
      <c r="E116" s="114"/>
      <c r="F116" s="3"/>
      <c r="G116" s="115" t="s">
        <v>20</v>
      </c>
      <c r="H116" s="116"/>
      <c r="I116" s="116"/>
      <c r="J116" s="116"/>
      <c r="K116" s="116"/>
      <c r="L116" s="116"/>
      <c r="M116" s="115" t="s">
        <v>20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s="31" customFormat="1" ht="21" customHeight="1" x14ac:dyDescent="0.4">
      <c r="A117" s="3"/>
      <c r="B117" s="3"/>
      <c r="C117" s="3"/>
      <c r="D117" s="3"/>
      <c r="E117" s="3"/>
      <c r="F117" s="117" t="s">
        <v>1</v>
      </c>
      <c r="G117" s="117"/>
      <c r="H117" s="3"/>
      <c r="I117" s="3"/>
      <c r="J117" s="118" t="s">
        <v>22</v>
      </c>
      <c r="K117" s="119" t="s">
        <v>23</v>
      </c>
      <c r="L117" s="120" t="s">
        <v>24</v>
      </c>
      <c r="M117" s="120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s="31" customFormat="1" ht="21" customHeight="1" x14ac:dyDescent="0.4">
      <c r="A118" s="3"/>
      <c r="B118" s="3"/>
      <c r="C118" s="3"/>
      <c r="D118" s="3"/>
      <c r="E118" s="117" t="s">
        <v>31</v>
      </c>
      <c r="F118" s="121" t="s">
        <v>25</v>
      </c>
      <c r="G118" s="122" t="s">
        <v>26</v>
      </c>
      <c r="H118" s="3"/>
      <c r="I118" s="117" t="s">
        <v>16</v>
      </c>
      <c r="J118" s="121" t="s">
        <v>25</v>
      </c>
      <c r="K118" s="118" t="s">
        <v>9</v>
      </c>
      <c r="L118" s="120" t="s">
        <v>8</v>
      </c>
      <c r="M118" s="122" t="s">
        <v>26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s="31" customFormat="1" ht="21" customHeight="1" x14ac:dyDescent="0.4">
      <c r="A119" s="3"/>
      <c r="B119" s="3"/>
      <c r="C119" s="3"/>
      <c r="D119" s="3"/>
      <c r="E119" s="123">
        <v>13</v>
      </c>
      <c r="F119" s="124">
        <v>1376</v>
      </c>
      <c r="G119" s="125">
        <v>620</v>
      </c>
      <c r="H119" s="3"/>
      <c r="I119" s="126"/>
      <c r="J119" s="124"/>
      <c r="K119" s="127">
        <v>0</v>
      </c>
      <c r="L119" s="128">
        <v>0</v>
      </c>
      <c r="M119" s="125">
        <v>0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s="31" customFormat="1" ht="21" customHeight="1" x14ac:dyDescent="0.4">
      <c r="A120" s="3"/>
      <c r="B120" s="3"/>
      <c r="C120" s="3"/>
      <c r="D120" s="3"/>
      <c r="E120" s="123">
        <v>20</v>
      </c>
      <c r="F120" s="124">
        <v>1488</v>
      </c>
      <c r="G120" s="125">
        <v>740</v>
      </c>
      <c r="H120" s="3"/>
      <c r="I120" s="126"/>
      <c r="J120" s="124"/>
      <c r="K120" s="127">
        <v>1</v>
      </c>
      <c r="L120" s="128">
        <v>20</v>
      </c>
      <c r="M120" s="125">
        <v>70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s="31" customFormat="1" ht="21" customHeight="1" x14ac:dyDescent="0.4">
      <c r="A121" s="3"/>
      <c r="B121" s="3"/>
      <c r="C121" s="3"/>
      <c r="D121" s="3"/>
      <c r="E121" s="123">
        <v>25</v>
      </c>
      <c r="F121" s="124">
        <v>4748</v>
      </c>
      <c r="G121" s="125">
        <v>3200</v>
      </c>
      <c r="H121" s="3"/>
      <c r="I121" s="126" t="s">
        <v>10</v>
      </c>
      <c r="J121" s="124">
        <v>110</v>
      </c>
      <c r="K121" s="127">
        <v>21</v>
      </c>
      <c r="L121" s="128">
        <v>40</v>
      </c>
      <c r="M121" s="125">
        <v>140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s="31" customFormat="1" ht="21" customHeight="1" x14ac:dyDescent="0.4">
      <c r="A122" s="3"/>
      <c r="B122" s="3"/>
      <c r="C122" s="3"/>
      <c r="D122" s="3"/>
      <c r="E122" s="123">
        <v>30</v>
      </c>
      <c r="F122" s="124">
        <v>7862</v>
      </c>
      <c r="G122" s="125">
        <v>6400</v>
      </c>
      <c r="H122" s="3"/>
      <c r="I122" s="126" t="s">
        <v>11</v>
      </c>
      <c r="J122" s="124">
        <v>140</v>
      </c>
      <c r="K122" s="127">
        <v>41</v>
      </c>
      <c r="L122" s="128">
        <v>60</v>
      </c>
      <c r="M122" s="125">
        <v>190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s="31" customFormat="1" ht="21" customHeight="1" x14ac:dyDescent="0.4">
      <c r="A123" s="3"/>
      <c r="B123" s="3"/>
      <c r="C123" s="3"/>
      <c r="D123" s="3"/>
      <c r="E123" s="123">
        <v>40</v>
      </c>
      <c r="F123" s="124">
        <v>13420</v>
      </c>
      <c r="G123" s="125">
        <v>12000</v>
      </c>
      <c r="H123" s="3"/>
      <c r="I123" s="126" t="s">
        <v>12</v>
      </c>
      <c r="J123" s="124">
        <v>170</v>
      </c>
      <c r="K123" s="127">
        <v>61</v>
      </c>
      <c r="L123" s="128">
        <v>100</v>
      </c>
      <c r="M123" s="125">
        <v>230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s="31" customFormat="1" ht="21" customHeight="1" x14ac:dyDescent="0.4">
      <c r="A124" s="3"/>
      <c r="B124" s="3"/>
      <c r="C124" s="3"/>
      <c r="D124" s="3"/>
      <c r="E124" s="123">
        <v>50</v>
      </c>
      <c r="F124" s="124">
        <v>33286</v>
      </c>
      <c r="G124" s="125">
        <v>31800</v>
      </c>
      <c r="H124" s="3"/>
      <c r="I124" s="126" t="s">
        <v>13</v>
      </c>
      <c r="J124" s="124">
        <v>190</v>
      </c>
      <c r="K124" s="127">
        <v>101</v>
      </c>
      <c r="L124" s="128">
        <v>200</v>
      </c>
      <c r="M124" s="125">
        <v>250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s="31" customFormat="1" ht="21" customHeight="1" x14ac:dyDescent="0.4">
      <c r="A125" s="3"/>
      <c r="B125" s="3"/>
      <c r="C125" s="3"/>
      <c r="D125" s="3"/>
      <c r="E125" s="123">
        <v>75</v>
      </c>
      <c r="F125" s="124">
        <v>48430</v>
      </c>
      <c r="G125" s="125">
        <v>47000</v>
      </c>
      <c r="H125" s="3"/>
      <c r="I125" s="126" t="s">
        <v>27</v>
      </c>
      <c r="J125" s="124">
        <v>210</v>
      </c>
      <c r="K125" s="127">
        <v>201</v>
      </c>
      <c r="L125" s="128">
        <v>0</v>
      </c>
      <c r="M125" s="125">
        <v>270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s="31" customFormat="1" ht="21" customHeight="1" x14ac:dyDescent="0.4">
      <c r="A126" s="3"/>
      <c r="B126" s="3"/>
      <c r="C126" s="3"/>
      <c r="D126" s="3"/>
      <c r="E126" s="123">
        <v>100</v>
      </c>
      <c r="F126" s="124">
        <v>63430</v>
      </c>
      <c r="G126" s="125">
        <v>62000</v>
      </c>
      <c r="H126" s="3"/>
      <c r="I126" s="126"/>
      <c r="J126" s="124"/>
      <c r="K126" s="127">
        <v>0</v>
      </c>
      <c r="L126" s="128"/>
      <c r="M126" s="125">
        <v>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s="31" customFormat="1" ht="9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s="31" customFormat="1" ht="21" customHeight="1" x14ac:dyDescent="0.55000000000000004">
      <c r="A128" s="3"/>
      <c r="B128" s="3"/>
      <c r="C128" s="3"/>
      <c r="D128" s="3"/>
      <c r="E128" s="114"/>
      <c r="F128" s="3"/>
      <c r="G128" s="129" t="s">
        <v>29</v>
      </c>
      <c r="H128" s="129"/>
      <c r="I128" s="129"/>
      <c r="J128" s="129"/>
      <c r="K128" s="129"/>
      <c r="L128" s="129"/>
      <c r="M128" s="129" t="s">
        <v>29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s="31" customFormat="1" ht="21" customHeight="1" x14ac:dyDescent="0.4">
      <c r="A129" s="3"/>
      <c r="B129" s="3"/>
      <c r="C129" s="3"/>
      <c r="D129" s="3"/>
      <c r="E129" s="3"/>
      <c r="F129" s="117" t="s">
        <v>1</v>
      </c>
      <c r="G129" s="117"/>
      <c r="H129" s="3"/>
      <c r="I129" s="3"/>
      <c r="J129" s="118" t="s">
        <v>22</v>
      </c>
      <c r="K129" s="119" t="s">
        <v>23</v>
      </c>
      <c r="L129" s="120" t="s">
        <v>24</v>
      </c>
      <c r="M129" s="120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s="31" customFormat="1" ht="21" customHeight="1" x14ac:dyDescent="0.4">
      <c r="A130" s="3"/>
      <c r="B130" s="3"/>
      <c r="C130" s="3"/>
      <c r="D130" s="3"/>
      <c r="E130" s="117" t="s">
        <v>0</v>
      </c>
      <c r="F130" s="121" t="s">
        <v>25</v>
      </c>
      <c r="G130" s="122" t="s">
        <v>26</v>
      </c>
      <c r="H130" s="3"/>
      <c r="I130" s="117" t="s">
        <v>16</v>
      </c>
      <c r="J130" s="121" t="s">
        <v>6</v>
      </c>
      <c r="K130" s="118" t="s">
        <v>9</v>
      </c>
      <c r="L130" s="120" t="s">
        <v>8</v>
      </c>
      <c r="M130" s="122" t="s">
        <v>26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s="31" customFormat="1" ht="21" customHeight="1" x14ac:dyDescent="0.4">
      <c r="A131" s="3"/>
      <c r="B131" s="3"/>
      <c r="C131" s="3"/>
      <c r="D131" s="3"/>
      <c r="E131" s="123" t="s">
        <v>2</v>
      </c>
      <c r="F131" s="124">
        <v>1400</v>
      </c>
      <c r="G131" s="130">
        <v>940</v>
      </c>
      <c r="H131" s="3"/>
      <c r="I131" s="126"/>
      <c r="J131" s="124"/>
      <c r="K131" s="127"/>
      <c r="L131" s="131"/>
      <c r="M131" s="125">
        <v>0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s="31" customFormat="1" ht="21" customHeight="1" x14ac:dyDescent="0.4">
      <c r="A132" s="3"/>
      <c r="B132" s="3"/>
      <c r="C132" s="3"/>
      <c r="D132" s="3"/>
      <c r="E132" s="3"/>
      <c r="F132" s="3"/>
      <c r="G132" s="3"/>
      <c r="H132" s="3"/>
      <c r="I132" s="126"/>
      <c r="J132" s="124"/>
      <c r="K132" s="127">
        <v>1</v>
      </c>
      <c r="L132" s="128">
        <v>20</v>
      </c>
      <c r="M132" s="125">
        <v>50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s="31" customFormat="1" ht="21" customHeight="1" x14ac:dyDescent="0.4">
      <c r="A133" s="3"/>
      <c r="B133" s="3"/>
      <c r="C133" s="3"/>
      <c r="D133" s="3"/>
      <c r="E133" s="3"/>
      <c r="F133" s="3"/>
      <c r="G133" s="3"/>
      <c r="H133" s="3"/>
      <c r="I133" s="126" t="s">
        <v>10</v>
      </c>
      <c r="J133" s="124">
        <v>70</v>
      </c>
      <c r="K133" s="127">
        <v>21</v>
      </c>
      <c r="L133" s="128">
        <v>40</v>
      </c>
      <c r="M133" s="125">
        <v>90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s="31" customFormat="1" ht="21" customHeight="1" x14ac:dyDescent="0.4">
      <c r="A134" s="3"/>
      <c r="B134" s="3"/>
      <c r="C134" s="3"/>
      <c r="D134" s="3"/>
      <c r="E134" s="3"/>
      <c r="F134" s="3"/>
      <c r="G134" s="3"/>
      <c r="H134" s="3"/>
      <c r="I134" s="126" t="s">
        <v>11</v>
      </c>
      <c r="J134" s="124">
        <v>80</v>
      </c>
      <c r="K134" s="127">
        <v>41</v>
      </c>
      <c r="L134" s="128">
        <v>60</v>
      </c>
      <c r="M134" s="125">
        <v>110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s="31" customFormat="1" ht="21" customHeight="1" x14ac:dyDescent="0.4">
      <c r="A135" s="3"/>
      <c r="B135" s="3"/>
      <c r="C135" s="3"/>
      <c r="D135" s="3"/>
      <c r="E135" s="3"/>
      <c r="F135" s="3"/>
      <c r="G135" s="3"/>
      <c r="H135" s="3"/>
      <c r="I135" s="126" t="s">
        <v>12</v>
      </c>
      <c r="J135" s="124">
        <v>90</v>
      </c>
      <c r="K135" s="127">
        <v>61</v>
      </c>
      <c r="L135" s="128">
        <v>100</v>
      </c>
      <c r="M135" s="125">
        <v>120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s="31" customFormat="1" ht="21" customHeight="1" x14ac:dyDescent="0.4">
      <c r="A136" s="3"/>
      <c r="B136" s="3"/>
      <c r="C136" s="3"/>
      <c r="D136" s="3"/>
      <c r="E136" s="3"/>
      <c r="F136" s="3"/>
      <c r="G136" s="3"/>
      <c r="H136" s="3"/>
      <c r="I136" s="126" t="s">
        <v>13</v>
      </c>
      <c r="J136" s="124">
        <v>100</v>
      </c>
      <c r="K136" s="127">
        <v>101</v>
      </c>
      <c r="L136" s="128">
        <v>200</v>
      </c>
      <c r="M136" s="125">
        <v>130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s="31" customFormat="1" ht="21" customHeight="1" x14ac:dyDescent="0.4">
      <c r="A137" s="3"/>
      <c r="B137" s="3"/>
      <c r="C137" s="3"/>
      <c r="D137" s="3"/>
      <c r="E137" s="3"/>
      <c r="F137" s="3"/>
      <c r="G137" s="3"/>
      <c r="H137" s="3"/>
      <c r="I137" s="126" t="s">
        <v>14</v>
      </c>
      <c r="J137" s="124">
        <v>110</v>
      </c>
      <c r="K137" s="127">
        <v>201</v>
      </c>
      <c r="L137" s="128">
        <v>400</v>
      </c>
      <c r="M137" s="125">
        <v>150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s="31" customFormat="1" ht="21" customHeight="1" x14ac:dyDescent="0.4">
      <c r="A138" s="3"/>
      <c r="B138" s="3"/>
      <c r="C138" s="3"/>
      <c r="D138" s="3"/>
      <c r="E138" s="3"/>
      <c r="F138" s="3"/>
      <c r="G138" s="3"/>
      <c r="H138" s="3"/>
      <c r="I138" s="126" t="s">
        <v>15</v>
      </c>
      <c r="J138" s="124">
        <v>130</v>
      </c>
      <c r="K138" s="127">
        <v>401</v>
      </c>
      <c r="L138" s="128">
        <v>1000</v>
      </c>
      <c r="M138" s="125">
        <v>180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s="31" customFormat="1" ht="21" customHeight="1" x14ac:dyDescent="0.4">
      <c r="A139" s="3"/>
      <c r="B139" s="3"/>
      <c r="C139" s="3"/>
      <c r="D139" s="3"/>
      <c r="E139" s="3"/>
      <c r="F139" s="3"/>
      <c r="G139" s="3"/>
      <c r="H139" s="3"/>
      <c r="I139" s="126" t="s">
        <v>28</v>
      </c>
      <c r="J139" s="124">
        <v>150</v>
      </c>
      <c r="K139" s="127">
        <v>1001</v>
      </c>
      <c r="L139" s="126"/>
      <c r="M139" s="125">
        <v>190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s="31" customFormat="1" ht="4.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s="31" customForma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s="31" customForma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s="31" customForma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s="31" customForma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s="31" customForma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s="31" customForma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s="31" customForma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s="31" customForma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s="31" customForma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s="31" customForma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s="31" customForma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s="31" customForma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s="31" customFormat="1" x14ac:dyDescent="0.4">
      <c r="A153" s="3"/>
      <c r="B153" s="3"/>
      <c r="C153" s="3"/>
      <c r="D153" s="3"/>
      <c r="E153" s="3"/>
      <c r="F153" s="3"/>
      <c r="G153" s="3"/>
      <c r="H153" s="13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s="31" customFormat="1" x14ac:dyDescent="0.4">
      <c r="A154" s="3"/>
      <c r="B154" s="3"/>
      <c r="C154" s="3"/>
      <c r="D154" s="3"/>
      <c r="E154" s="3"/>
      <c r="F154" s="3"/>
      <c r="G154" s="3"/>
      <c r="H154" s="13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s="31" customForma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s="31" customForma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13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s="31" customForma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13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s="31" customForma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13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s="31" customForma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13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s="31" customForma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13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s="31" customForma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13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4">
      <c r="A162" s="135"/>
      <c r="B162" s="135"/>
      <c r="C162" s="135"/>
      <c r="D162" s="135"/>
      <c r="E162" s="135"/>
      <c r="F162" s="135"/>
      <c r="G162" s="135"/>
      <c r="H162" s="135"/>
      <c r="I162" s="135"/>
      <c r="J162" s="136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</row>
    <row r="163" spans="1:24" x14ac:dyDescent="0.4">
      <c r="A163" s="135"/>
      <c r="B163" s="135"/>
      <c r="C163" s="135"/>
      <c r="D163" s="135"/>
      <c r="E163" s="135"/>
      <c r="F163" s="135"/>
      <c r="G163" s="135"/>
      <c r="H163" s="135"/>
      <c r="I163" s="135"/>
      <c r="J163" s="136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</row>
    <row r="164" spans="1:24" x14ac:dyDescent="0.4">
      <c r="A164" s="135"/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</row>
    <row r="165" spans="1:24" x14ac:dyDescent="0.4">
      <c r="A165" s="135"/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</row>
    <row r="166" spans="1:24" x14ac:dyDescent="0.4">
      <c r="A166" s="135"/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</row>
    <row r="167" spans="1:24" x14ac:dyDescent="0.4">
      <c r="A167" s="135"/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</row>
  </sheetData>
  <sheetProtection password="E6CD" sheet="1" objects="1" scenarios="1"/>
  <phoneticPr fontId="2"/>
  <dataValidations count="2">
    <dataValidation type="list" allowBlank="1" showInputMessage="1" showErrorMessage="1" sqref="F9">
      <formula1>$E$119:$E$126</formula1>
    </dataValidation>
    <dataValidation allowBlank="1" showInputMessage="1" sqref="G118 M118 G130 M130 E74 K74 E87 K87 E49 K49 E62 K62"/>
  </dataValidations>
  <pageMargins left="0.23622047244094491" right="0.23622047244094491" top="0" bottom="0" header="0.31496062992125984" footer="0.31496062992125984"/>
  <pageSetup paperSize="9" scale="51" orientation="portrait" r:id="rId1"/>
  <colBreaks count="1" manualBreakCount="1">
    <brk id="14" max="6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簡易シミュレーター</vt:lpstr>
      <vt:lpstr>簡易シミュレーター!Print_Area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2024-10-09T01:04:52Z</cp:lastPrinted>
  <dcterms:created xsi:type="dcterms:W3CDTF">2024-07-09T06:12:51Z</dcterms:created>
  <dcterms:modified xsi:type="dcterms:W3CDTF">2025-01-21T23:06:03Z</dcterms:modified>
</cp:coreProperties>
</file>