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0636\Desktop\"/>
    </mc:Choice>
  </mc:AlternateContent>
  <bookViews>
    <workbookView xWindow="0" yWindow="0" windowWidth="16380" windowHeight="8190" activeTab="2"/>
  </bookViews>
  <sheets>
    <sheet name="はじめに" sheetId="1" r:id="rId1"/>
    <sheet name="流出量計算" sheetId="2" r:id="rId2"/>
    <sheet name="浸透施設設計" sheetId="3" r:id="rId3"/>
    <sheet name="浸透トレンチ" sheetId="4" r:id="rId4"/>
    <sheet name="浸透側溝" sheetId="5" r:id="rId5"/>
    <sheet name="浸透丸桝" sheetId="6" r:id="rId6"/>
    <sheet name="浸透角形桝" sheetId="7" r:id="rId7"/>
    <sheet name="比浸透量K算定" sheetId="8" r:id="rId8"/>
    <sheet name="比浸透量K算定（大規模）" sheetId="9" r:id="rId9"/>
    <sheet name="比浸透量K算定（大型貯留槽・側面底面）" sheetId="10" r:id="rId10"/>
    <sheet name="比浸透量K算定（大型貯留槽・底面）" sheetId="11" r:id="rId11"/>
  </sheets>
  <definedNames>
    <definedName name="_xlnm.Print_Area" localSheetId="3">浸透トレンチ!$A$1:$P$41</definedName>
    <definedName name="_xlnm.Print_Area" localSheetId="6">浸透角形桝!$A$1:$P$41</definedName>
    <definedName name="_xlnm.Print_Area" localSheetId="5">浸透丸桝!$A$1:$P$41</definedName>
    <definedName name="_xlnm.Print_Area" localSheetId="4">浸透側溝!$A$1:$P$41</definedName>
    <definedName name="_xlnm.Print_Titles" localSheetId="3">浸透トレンチ!$C:$C</definedName>
    <definedName name="_xlnm.Print_Titles" localSheetId="4">浸透側溝!$C:$C</definedName>
    <definedName name="_xlnm.Print_Titles" localSheetId="7">比浸透量K算定!$A:$A</definedName>
    <definedName name="_xlnm.Print_Titles" localSheetId="8">'比浸透量K算定（大規模）'!$A:$A</definedName>
    <definedName name="_xlnm.Print_Titles" localSheetId="9">'比浸透量K算定（大型貯留槽・側面底面）'!$A:$A</definedName>
    <definedName name="_xlnm.Print_Titles" localSheetId="10">'比浸透量K算定（大型貯留槽・底面）'!$A:$A</definedName>
  </definedNames>
  <calcPr calcId="162913" calcMode="manual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9" i="11" l="1"/>
  <c r="F9" i="11" s="1"/>
  <c r="F3" i="11"/>
  <c r="G9" i="10"/>
  <c r="G13" i="10" s="1"/>
  <c r="G14" i="10" s="1"/>
  <c r="C9" i="10"/>
  <c r="C13" i="10" s="1"/>
  <c r="C14" i="10" s="1"/>
  <c r="B9" i="10"/>
  <c r="F9" i="10" s="1"/>
  <c r="F3" i="10"/>
  <c r="E15" i="9"/>
  <c r="D15" i="9"/>
  <c r="C15" i="9"/>
  <c r="B15" i="9"/>
  <c r="E12" i="9"/>
  <c r="D12" i="9"/>
  <c r="C12" i="9"/>
  <c r="B12" i="9"/>
  <c r="E10" i="9"/>
  <c r="D10" i="9"/>
  <c r="C10" i="9"/>
  <c r="B10" i="9"/>
  <c r="J15" i="8"/>
  <c r="I15" i="8"/>
  <c r="H15" i="8"/>
  <c r="G15" i="8"/>
  <c r="F15" i="8"/>
  <c r="E15" i="8"/>
  <c r="B15" i="8"/>
  <c r="H14" i="8"/>
  <c r="D14" i="8"/>
  <c r="K12" i="8"/>
  <c r="J12" i="8"/>
  <c r="I12" i="8"/>
  <c r="H12" i="8"/>
  <c r="G12" i="8"/>
  <c r="F12" i="8"/>
  <c r="E12" i="8"/>
  <c r="D12" i="8"/>
  <c r="D15" i="8" s="1"/>
  <c r="C12" i="8"/>
  <c r="C15" i="8" s="1"/>
  <c r="K10" i="8"/>
  <c r="K15" i="8" s="1"/>
  <c r="J10" i="8"/>
  <c r="I10" i="8"/>
  <c r="H10" i="8"/>
  <c r="G10" i="8"/>
  <c r="F10" i="8"/>
  <c r="E10" i="8"/>
  <c r="D10" i="8"/>
  <c r="D39" i="7"/>
  <c r="F38" i="7"/>
  <c r="D38" i="7"/>
  <c r="J34" i="7"/>
  <c r="H34" i="7"/>
  <c r="F34" i="7"/>
  <c r="M34" i="7" s="1"/>
  <c r="E34" i="7"/>
  <c r="L34" i="7" s="1"/>
  <c r="D34" i="7"/>
  <c r="C34" i="7"/>
  <c r="P34" i="7" s="1"/>
  <c r="K25" i="7"/>
  <c r="D18" i="7"/>
  <c r="D16" i="7"/>
  <c r="D14" i="7"/>
  <c r="D11" i="7"/>
  <c r="D19" i="7" s="1"/>
  <c r="K24" i="7" s="1"/>
  <c r="D27" i="7" s="1"/>
  <c r="D10" i="7"/>
  <c r="F38" i="6"/>
  <c r="H34" i="6"/>
  <c r="F34" i="6"/>
  <c r="M34" i="6" s="1"/>
  <c r="E34" i="6"/>
  <c r="L34" i="6" s="1"/>
  <c r="D34" i="6"/>
  <c r="C34" i="6"/>
  <c r="P34" i="6" s="1"/>
  <c r="K25" i="6"/>
  <c r="D16" i="6"/>
  <c r="D11" i="6"/>
  <c r="D19" i="6" s="1"/>
  <c r="K24" i="6" s="1"/>
  <c r="D27" i="6" s="1"/>
  <c r="D10" i="6"/>
  <c r="P34" i="5"/>
  <c r="I34" i="5"/>
  <c r="H34" i="5"/>
  <c r="F34" i="5"/>
  <c r="E34" i="5"/>
  <c r="D34" i="5"/>
  <c r="C34" i="5"/>
  <c r="D38" i="5" s="1"/>
  <c r="K25" i="5"/>
  <c r="D15" i="5"/>
  <c r="M24" i="5" s="1"/>
  <c r="D11" i="5"/>
  <c r="D10" i="5"/>
  <c r="D16" i="5" s="1"/>
  <c r="K24" i="5" s="1"/>
  <c r="F38" i="4"/>
  <c r="M34" i="4"/>
  <c r="J34" i="4"/>
  <c r="F34" i="4"/>
  <c r="L34" i="4" s="1"/>
  <c r="E34" i="4"/>
  <c r="D34" i="4"/>
  <c r="C34" i="4"/>
  <c r="D38" i="4" s="1"/>
  <c r="K25" i="4"/>
  <c r="D15" i="4"/>
  <c r="D11" i="4"/>
  <c r="D10" i="4"/>
  <c r="D16" i="4" s="1"/>
  <c r="K24" i="4" s="1"/>
  <c r="D27" i="4" s="1"/>
  <c r="J34" i="3"/>
  <c r="J33" i="3"/>
  <c r="J32" i="3"/>
  <c r="J31" i="3"/>
  <c r="J35" i="3" s="1"/>
  <c r="F40" i="3" s="1"/>
  <c r="E30" i="2"/>
  <c r="D30" i="2" s="1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F30" i="2" s="1"/>
  <c r="D27" i="5" l="1"/>
  <c r="F13" i="10"/>
  <c r="F14" i="10" s="1"/>
  <c r="F11" i="10"/>
  <c r="F13" i="11"/>
  <c r="F14" i="11" s="1"/>
  <c r="F11" i="11"/>
  <c r="M34" i="5"/>
  <c r="D39" i="5"/>
  <c r="G30" i="2"/>
  <c r="E40" i="3" s="1"/>
  <c r="G40" i="3" s="1"/>
  <c r="D39" i="4"/>
  <c r="L34" i="5"/>
  <c r="F38" i="5"/>
  <c r="D14" i="6"/>
  <c r="J34" i="6"/>
  <c r="D38" i="6"/>
  <c r="D9" i="10"/>
  <c r="H9" i="10"/>
  <c r="C9" i="11"/>
  <c r="G9" i="11"/>
  <c r="E9" i="10"/>
  <c r="C11" i="10"/>
  <c r="G11" i="10"/>
  <c r="D9" i="11"/>
  <c r="H9" i="11"/>
  <c r="H34" i="4"/>
  <c r="D18" i="6"/>
  <c r="D39" i="6"/>
  <c r="E9" i="11"/>
  <c r="J34" i="5"/>
  <c r="E13" i="11" l="1"/>
  <c r="E14" i="11" s="1"/>
  <c r="E11" i="11"/>
  <c r="E11" i="10"/>
  <c r="E13" i="10"/>
  <c r="E14" i="10" s="1"/>
  <c r="D11" i="11"/>
  <c r="D13" i="11"/>
  <c r="D14" i="11" s="1"/>
  <c r="G11" i="11"/>
  <c r="G13" i="11"/>
  <c r="G14" i="11" s="1"/>
  <c r="H11" i="10"/>
  <c r="H13" i="10"/>
  <c r="H11" i="11"/>
  <c r="H13" i="11"/>
  <c r="D11" i="10"/>
  <c r="D13" i="10"/>
  <c r="D14" i="10" s="1"/>
  <c r="C11" i="11"/>
  <c r="C13" i="11"/>
  <c r="C14" i="11" s="1"/>
</calcChain>
</file>

<file path=xl/sharedStrings.xml><?xml version="1.0" encoding="utf-8"?>
<sst xmlns="http://schemas.openxmlformats.org/spreadsheetml/2006/main" count="660" uniqueCount="238">
  <si>
    <t>各シートは保護されていますので、シート毎にＴａｂキーを押すと条件入力セルに移動します。</t>
  </si>
  <si>
    <t>計算式を変更するなどしたい場合は、ツール（Ｔ）保護（Ｐ）で解除してください。</t>
  </si>
  <si>
    <t>シート浸透施設設計の３施設の設置　寸法は直接入力してください。</t>
  </si>
  <si>
    <t>基準処理量は施設ごとのシート（浸透トレンチ、浸透円形桝、浸透角形桝等）からリンクさせてください</t>
  </si>
  <si>
    <t>リンクの方法：表示させるセルで数式を入れる。　＝　参照シートの参照セル　Enterキー</t>
  </si>
  <si>
    <t>基準処理量まで算定しているシートは、浸透トレンチ、浸透丸桝、浸透角形桝、浸透側溝だけです。</t>
  </si>
  <si>
    <t>これ以外の施設を使用する場合は、比浸透量K算定シートを利用して計算を進めてください。</t>
  </si>
  <si>
    <t>Ⅰ　流出量の計算</t>
  </si>
  <si>
    <t>計画最大雨水量</t>
  </si>
  <si>
    <t>Ｑ＝１／１０００×Ｃ×Ｉ×Ａ</t>
  </si>
  <si>
    <t>Ｑ ： 計画最大雨水量（ｍ3／hr）</t>
  </si>
  <si>
    <t>Ｃ ： 総括流出係数</t>
  </si>
  <si>
    <t xml:space="preserve"> Ｉ ： 平均降雨強度</t>
  </si>
  <si>
    <t xml:space="preserve"> （ｍｍ／hr）川島町指定</t>
  </si>
  <si>
    <t>Ａ ： 集水面積（㎡）</t>
  </si>
  <si>
    <t>総括流出係数は工種別基礎流出係数標準値を使用する。</t>
  </si>
  <si>
    <t>工　種　別</t>
  </si>
  <si>
    <t>流出係数</t>
  </si>
  <si>
    <t>自己居住用</t>
  </si>
  <si>
    <t>屋　根</t>
  </si>
  <si>
    <t>水　面</t>
  </si>
  <si>
    <t>不要</t>
  </si>
  <si>
    <t>道　路</t>
  </si>
  <si>
    <t>間地（空地）&lt;土&gt;</t>
  </si>
  <si>
    <t>浸透舗装</t>
  </si>
  <si>
    <t>間地（空地）&lt;砂利敷&gt;</t>
  </si>
  <si>
    <t>その他の不透水面</t>
  </si>
  <si>
    <t>芝・樹木の多い公園</t>
  </si>
  <si>
    <t>勾配のゆるい山地</t>
  </si>
  <si>
    <t>勾配の急な山地</t>
  </si>
  <si>
    <t>計画最大雨水量Qの算出</t>
  </si>
  <si>
    <t>工    種</t>
  </si>
  <si>
    <t>C：流出係数</t>
  </si>
  <si>
    <t>Ａ：集水面積（㎡）</t>
  </si>
  <si>
    <t>C×A</t>
  </si>
  <si>
    <t>Ｑ：（ｍ3／hr）</t>
  </si>
  <si>
    <t>計</t>
  </si>
  <si>
    <t>Ⅱ　浸透施設設計</t>
  </si>
  <si>
    <t>飽和透水係数</t>
  </si>
  <si>
    <t>飽和透水係数 ko （m/hr）</t>
  </si>
  <si>
    <t>浸透施設の設計処理量</t>
  </si>
  <si>
    <t>基準浸透量</t>
  </si>
  <si>
    <t>雨水浸透施設の浸透量は「埼玉県雨水流出抑制施設の設置等に関する条例」</t>
  </si>
  <si>
    <t>許可申請･届出手引きにより算定する。</t>
  </si>
  <si>
    <t>Qｆ ＝ K × ｆ</t>
  </si>
  <si>
    <r>
      <rPr>
        <sz val="11"/>
        <rFont val="ＭＳ Ｐゴシック"/>
        <family val="3"/>
      </rPr>
      <t>Qｆ ： 基準浸透量 （ｍ</t>
    </r>
    <r>
      <rPr>
        <sz val="8"/>
        <rFont val="ＭＳ Ｐゴシック"/>
        <family val="3"/>
      </rPr>
      <t>3</t>
    </r>
    <r>
      <rPr>
        <sz val="11"/>
        <rFont val="ＭＳ Ｐゴシック"/>
        <family val="3"/>
      </rPr>
      <t>／hr）</t>
    </r>
  </si>
  <si>
    <t>K ： 比浸透量　（㎡）</t>
  </si>
  <si>
    <t>ｆ ： 土壌の飽和透水係数　（ｍ/hr）</t>
  </si>
  <si>
    <t>基準貯留量</t>
  </si>
  <si>
    <t>貯留量は、空隙率Tvを用いて算出する。</t>
  </si>
  <si>
    <t>Qt ＝　V × Tv</t>
  </si>
  <si>
    <r>
      <rPr>
        <sz val="11"/>
        <rFont val="ＭＳ Ｐゴシック"/>
        <family val="3"/>
      </rPr>
      <t>Qｔ ： 基準貯留量 （ｍ</t>
    </r>
    <r>
      <rPr>
        <sz val="8"/>
        <rFont val="ＭＳ Ｐゴシック"/>
        <family val="3"/>
      </rPr>
      <t>3</t>
    </r>
    <r>
      <rPr>
        <sz val="11"/>
        <rFont val="ＭＳ Ｐゴシック"/>
        <family val="3"/>
      </rPr>
      <t>）</t>
    </r>
  </si>
  <si>
    <r>
      <rPr>
        <sz val="11"/>
        <rFont val="ＭＳ Ｐゴシック"/>
        <family val="3"/>
      </rPr>
      <t>V ： 体積 （ｍ</t>
    </r>
    <r>
      <rPr>
        <sz val="8"/>
        <rFont val="ＭＳ Ｐゴシック"/>
        <family val="3"/>
      </rPr>
      <t>3</t>
    </r>
    <r>
      <rPr>
        <sz val="11"/>
        <rFont val="ＭＳ Ｐゴシック"/>
        <family val="3"/>
      </rPr>
      <t>）</t>
    </r>
  </si>
  <si>
    <t>Tv ： 空隙率 （％）</t>
  </si>
  <si>
    <t>基準処理量</t>
  </si>
  <si>
    <t>Qd ＝ Qｆ ＋ Qｔ</t>
  </si>
  <si>
    <r>
      <rPr>
        <sz val="11"/>
        <rFont val="ＭＳ Ｐゴシック"/>
        <family val="3"/>
      </rPr>
      <t>Qｄ ： 基準処理量 （ｍ</t>
    </r>
    <r>
      <rPr>
        <sz val="8"/>
        <rFont val="ＭＳ Ｐゴシック"/>
        <family val="3"/>
      </rPr>
      <t>3</t>
    </r>
    <r>
      <rPr>
        <sz val="11"/>
        <rFont val="ＭＳ Ｐゴシック"/>
        <family val="3"/>
      </rPr>
      <t>／hr）</t>
    </r>
  </si>
  <si>
    <t>施設の設置</t>
  </si>
  <si>
    <t>（基準処理量の算出は次ページ以降参照）</t>
  </si>
  <si>
    <t>名　称</t>
  </si>
  <si>
    <t>寸法</t>
  </si>
  <si>
    <t>数　量</t>
  </si>
  <si>
    <t>単　位</t>
  </si>
  <si>
    <t>処理量</t>
  </si>
  <si>
    <r>
      <rPr>
        <sz val="11"/>
        <rFont val="ＭＳ Ｐゴシック"/>
        <family val="3"/>
      </rPr>
      <t>Qd（ｍ</t>
    </r>
    <r>
      <rPr>
        <sz val="8"/>
        <rFont val="ＭＳ Ｐゴシック"/>
        <family val="3"/>
      </rPr>
      <t>3/</t>
    </r>
    <r>
      <rPr>
        <sz val="11"/>
        <rFont val="ＭＳ Ｐゴシック"/>
        <family val="3"/>
      </rPr>
      <t>hr）</t>
    </r>
  </si>
  <si>
    <r>
      <rPr>
        <sz val="11"/>
        <rFont val="ＭＳ Ｐゴシック"/>
        <family val="3"/>
      </rPr>
      <t>ΣQd（ｍ</t>
    </r>
    <r>
      <rPr>
        <sz val="8"/>
        <rFont val="ＭＳ Ｐゴシック"/>
        <family val="3"/>
      </rPr>
      <t>3</t>
    </r>
    <r>
      <rPr>
        <sz val="11"/>
        <rFont val="ＭＳ Ｐゴシック"/>
        <family val="3"/>
      </rPr>
      <t>/hr）</t>
    </r>
  </si>
  <si>
    <t>浸 透 桝</t>
  </si>
  <si>
    <t>個</t>
  </si>
  <si>
    <t>浸透ﾄﾚﾝﾁ</t>
  </si>
  <si>
    <t>ｍ</t>
  </si>
  <si>
    <t>浸透側溝</t>
  </si>
  <si>
    <t>＊＊＊</t>
  </si>
  <si>
    <t>判定</t>
  </si>
  <si>
    <t>流出量Q</t>
  </si>
  <si>
    <t>処理量ΣQd</t>
  </si>
  <si>
    <t xml:space="preserve"> （ｍ3/hr）</t>
  </si>
  <si>
    <t>浸透トレンチの処理量計算</t>
  </si>
  <si>
    <t>設計条件</t>
  </si>
  <si>
    <t>構造図</t>
  </si>
  <si>
    <t>幅 W＝</t>
  </si>
  <si>
    <t>VP管</t>
  </si>
  <si>
    <t>内径</t>
  </si>
  <si>
    <t>外径</t>
  </si>
  <si>
    <t>設置形状</t>
  </si>
  <si>
    <t>浸透トレンチ</t>
  </si>
  <si>
    <t>外径φ1＝</t>
  </si>
  <si>
    <t>φ75</t>
  </si>
  <si>
    <t>浸透面</t>
  </si>
  <si>
    <t>側面・底面</t>
  </si>
  <si>
    <t>内径φ2=</t>
  </si>
  <si>
    <t>φ100</t>
  </si>
  <si>
    <t>設計水頭</t>
  </si>
  <si>
    <t>約１．５ｍ</t>
  </si>
  <si>
    <t>φ125</t>
  </si>
  <si>
    <t>施設規模</t>
  </si>
  <si>
    <t>幅約１．５ｍ</t>
  </si>
  <si>
    <t>埋戻土</t>
  </si>
  <si>
    <t>φ150</t>
  </si>
  <si>
    <t>基本式</t>
  </si>
  <si>
    <t>K=aH+b</t>
  </si>
  <si>
    <t>φ200</t>
  </si>
  <si>
    <t>H（ｍ）</t>
  </si>
  <si>
    <t>φ250</t>
  </si>
  <si>
    <t>W（ｍ）</t>
  </si>
  <si>
    <t>φ300</t>
  </si>
  <si>
    <t>L(m)</t>
  </si>
  <si>
    <t>透水シート</t>
  </si>
  <si>
    <t>a</t>
  </si>
  <si>
    <t>ｂ</t>
  </si>
  <si>
    <t>1.34*W+0.677</t>
  </si>
  <si>
    <t>透水管</t>
  </si>
  <si>
    <t>H=</t>
  </si>
  <si>
    <t>K</t>
  </si>
  <si>
    <t>単粒度砕石</t>
  </si>
  <si>
    <t>長さは１ｍ当りで計算する。</t>
  </si>
  <si>
    <t>φ30orφ40</t>
  </si>
  <si>
    <t>敷砂</t>
  </si>
  <si>
    <t>（単位：ｍｍ）</t>
  </si>
  <si>
    <t>※略図ですので、参考としてください。</t>
  </si>
  <si>
    <t xml:space="preserve">     Qｆ ＝ K × ｆ </t>
  </si>
  <si>
    <t>K ： 比浸透量</t>
  </si>
  <si>
    <t>＝</t>
  </si>
  <si>
    <t xml:space="preserve">     Qｆ ＝</t>
  </si>
  <si>
    <t>（ｍ3／hr）</t>
  </si>
  <si>
    <t xml:space="preserve">      Qt ＝　（ W ・H －π・φ1・φ1／４ ） ・ Tv ＋ π ・φ2・φ2／４</t>
  </si>
  <si>
    <t>材　　料</t>
  </si>
  <si>
    <t>空隙率（％）</t>
  </si>
  <si>
    <t>単粒度砕石（３・４・５号）</t>
  </si>
  <si>
    <t>（単粒度砕石φ３０）</t>
  </si>
  <si>
    <t>切込砕石・粒度調整砕石</t>
  </si>
  <si>
    <t>W (m)</t>
  </si>
  <si>
    <t>H (m)</t>
  </si>
  <si>
    <t>φ1 (m)</t>
  </si>
  <si>
    <t>φ2 (m)</t>
  </si>
  <si>
    <t>W ・H</t>
  </si>
  <si>
    <t>π・φ1・φ1　　／４</t>
  </si>
  <si>
    <t>π・φ2・φ2　　／４</t>
  </si>
  <si>
    <t>Qt</t>
  </si>
  <si>
    <t>プラスチック製貯留材</t>
  </si>
  <si>
    <t>使用する製品のカタログ値を採用</t>
  </si>
  <si>
    <t xml:space="preserve">     Qd ＝ Qｆ ＋ Qｔ</t>
  </si>
  <si>
    <t>＋</t>
  </si>
  <si>
    <r>
      <rPr>
        <sz val="11"/>
        <rFont val="ＭＳ Ｐゴシック"/>
        <family val="3"/>
      </rPr>
      <t>（ｍ</t>
    </r>
    <r>
      <rPr>
        <sz val="8"/>
        <rFont val="ＭＳ Ｐゴシック"/>
        <family val="3"/>
      </rPr>
      <t>3</t>
    </r>
    <r>
      <rPr>
        <sz val="11"/>
        <rFont val="ＭＳ Ｐゴシック"/>
        <family val="3"/>
      </rPr>
      <t>／hr／ｍ）</t>
    </r>
  </si>
  <si>
    <t>浸透側溝の処理量計算</t>
  </si>
  <si>
    <t>外幅B1＝</t>
  </si>
  <si>
    <t>内幅B2=</t>
  </si>
  <si>
    <t>ｈ2＝</t>
  </si>
  <si>
    <t>ｈ1＝</t>
  </si>
  <si>
    <t>=</t>
  </si>
  <si>
    <t xml:space="preserve">      Qt ＝　（ W ・H －B1・ｈ１ ） ・ Tv ＋ B２・ｈ２</t>
  </si>
  <si>
    <t>B1 (m)</t>
  </si>
  <si>
    <t>B2 (m)</t>
  </si>
  <si>
    <t>ｈ1</t>
  </si>
  <si>
    <t>ｈ2</t>
  </si>
  <si>
    <t>B1・ｈ1</t>
  </si>
  <si>
    <t>B２・ｈ2</t>
  </si>
  <si>
    <t>浸透丸桝の処理量計算</t>
  </si>
  <si>
    <t>浸透桝</t>
  </si>
  <si>
    <t>円筒形</t>
  </si>
  <si>
    <t>砕石等の</t>
  </si>
  <si>
    <t>　　幅・奥行：W＝</t>
  </si>
  <si>
    <t>立方形</t>
  </si>
  <si>
    <t>　内径φ2=</t>
  </si>
  <si>
    <t>W≦１ｍ</t>
  </si>
  <si>
    <t>K=aHH+bH+c</t>
  </si>
  <si>
    <t>0.120*W+0.985</t>
  </si>
  <si>
    <t>ｈ=</t>
  </si>
  <si>
    <t>7.837*W+0.82</t>
  </si>
  <si>
    <t>ｃ</t>
  </si>
  <si>
    <t>2.858*W-0.283</t>
  </si>
  <si>
    <t xml:space="preserve">      Qt ＝　（ W ・W ・H －π・φ1・φ1／４　・ ｈ ） ・ Tv ＋ π ・φ2・φ2／４ ・ ｈ</t>
  </si>
  <si>
    <t>ｈ (m)</t>
  </si>
  <si>
    <t>W・W・H</t>
  </si>
  <si>
    <t>π・φ1・φ1　　／４　・ ｈ</t>
  </si>
  <si>
    <t>π・φ2・φ2　　／４　・ ｈ</t>
  </si>
  <si>
    <r>
      <rPr>
        <sz val="11"/>
        <rFont val="ＭＳ Ｐゴシック"/>
        <family val="3"/>
      </rPr>
      <t>（ｍ</t>
    </r>
    <r>
      <rPr>
        <sz val="8"/>
        <rFont val="ＭＳ Ｐゴシック"/>
        <family val="3"/>
      </rPr>
      <t>3</t>
    </r>
    <r>
      <rPr>
        <sz val="11"/>
        <rFont val="ＭＳ Ｐゴシック"/>
        <family val="3"/>
      </rPr>
      <t>／hr／個）</t>
    </r>
  </si>
  <si>
    <t>浸透角桝の処理量計算</t>
  </si>
  <si>
    <t>角形（正方形）</t>
  </si>
  <si>
    <t>　内幅B2=</t>
  </si>
  <si>
    <t xml:space="preserve">      Qt ＝　（ W ・W ・H －B1・B1・ ｈ ） ・ Tv ＋ B2・B2 ・ ｈ</t>
  </si>
  <si>
    <t>B1・B1・ｈ</t>
  </si>
  <si>
    <t>B2・B2・ｈ</t>
  </si>
  <si>
    <t>施設</t>
  </si>
  <si>
    <t>浸透池</t>
  </si>
  <si>
    <t>円筒ます</t>
  </si>
  <si>
    <t>正方形ます</t>
  </si>
  <si>
    <t>矩形のます</t>
  </si>
  <si>
    <t>底面</t>
  </si>
  <si>
    <t>400㎡以上</t>
  </si>
  <si>
    <t>0.2≦D≦1ｍ</t>
  </si>
  <si>
    <t>1＜D≦10ｍ</t>
  </si>
  <si>
    <t>0.3≦D≦1ｍ</t>
  </si>
  <si>
    <t>1＜W≦10ｍ</t>
  </si>
  <si>
    <t>L200、W4ｍ</t>
  </si>
  <si>
    <t>W又はD（ｍ）</t>
  </si>
  <si>
    <t>0.475*D+0.945</t>
  </si>
  <si>
    <t>6.244*D+2.853</t>
  </si>
  <si>
    <t>1.497*D-0.100</t>
  </si>
  <si>
    <t>2.556*D-2.052</t>
  </si>
  <si>
    <t>(-0.453)*W*W+8.289*W+0.753</t>
  </si>
  <si>
    <t>1.676*W-0.137</t>
  </si>
  <si>
    <t>3.297*L+(1.971*W+4.663)</t>
  </si>
  <si>
    <t>6.07*D+1.01</t>
  </si>
  <si>
    <t>0.93*D*D+1.606*D-0.773</t>
  </si>
  <si>
    <t>1.13*D*D+0.638*D-0.011</t>
  </si>
  <si>
    <t>0.924*D*D+0.993*D-0.087</t>
  </si>
  <si>
    <t>1.458*W*W+1.27*W+0.362</t>
  </si>
  <si>
    <t>1.496*W*W+0.671*W-0.015</t>
  </si>
  <si>
    <t>(1.401*W+0.684)*L+(1.214*W-0.834)</t>
  </si>
  <si>
    <t>2.57*D-0.188</t>
  </si>
  <si>
    <t>10＜W≦８0ｍ</t>
  </si>
  <si>
    <t>0.747*W+21.355</t>
  </si>
  <si>
    <t>(-0.204)*W*W+3.166*W-1.936</t>
  </si>
  <si>
    <t>1.265*W-15.670</t>
  </si>
  <si>
    <t>1.263*W*W+4.295*W-7.649</t>
  </si>
  <si>
    <t>1.345*W*W+0.736*W+0.251</t>
  </si>
  <si>
    <t>1.259*W*W+2.336*W-8.13</t>
  </si>
  <si>
    <t>大　型　貯　留　槽</t>
  </si>
  <si>
    <t>側　面　・　底　面</t>
  </si>
  <si>
    <t>1ｍ　≦　H　≦　５ｍ</t>
  </si>
  <si>
    <t>５ｍ≦W≦５０ｍ</t>
  </si>
  <si>
    <t>K = （aH+b）＊Ｌ</t>
  </si>
  <si>
    <t>Ｘ＝Ｌ／Ｗ</t>
  </si>
  <si>
    <r>
      <rPr>
        <sz val="11"/>
        <rFont val="ＭＳ Ｐゴシック"/>
        <family val="3"/>
      </rPr>
      <t>8.83X</t>
    </r>
    <r>
      <rPr>
        <vertAlign val="superscript"/>
        <sz val="11"/>
        <rFont val="ＭＳ Ｐゴシック"/>
        <family val="3"/>
      </rPr>
      <t>-0.461</t>
    </r>
  </si>
  <si>
    <r>
      <rPr>
        <sz val="11"/>
        <rFont val="ＭＳ Ｐゴシック"/>
        <family val="3"/>
      </rPr>
      <t>7.88X</t>
    </r>
    <r>
      <rPr>
        <vertAlign val="superscript"/>
        <sz val="11"/>
        <rFont val="ＭＳ Ｐゴシック"/>
        <family val="3"/>
      </rPr>
      <t>-0.446</t>
    </r>
  </si>
  <si>
    <r>
      <rPr>
        <sz val="11"/>
        <rFont val="ＭＳ Ｐゴシック"/>
        <family val="3"/>
      </rPr>
      <t>7.06X</t>
    </r>
    <r>
      <rPr>
        <vertAlign val="superscript"/>
        <sz val="11"/>
        <rFont val="ＭＳ Ｐゴシック"/>
        <family val="3"/>
      </rPr>
      <t>-0.452</t>
    </r>
  </si>
  <si>
    <r>
      <rPr>
        <sz val="11"/>
        <rFont val="ＭＳ Ｐゴシック"/>
        <family val="3"/>
      </rPr>
      <t>6.43X</t>
    </r>
    <r>
      <rPr>
        <vertAlign val="superscript"/>
        <sz val="11"/>
        <rFont val="ＭＳ Ｐゴシック"/>
        <family val="3"/>
      </rPr>
      <t>-0.444</t>
    </r>
  </si>
  <si>
    <r>
      <rPr>
        <sz val="11"/>
        <rFont val="ＭＳ Ｐゴシック"/>
        <family val="3"/>
      </rPr>
      <t>5.97X</t>
    </r>
    <r>
      <rPr>
        <vertAlign val="superscript"/>
        <sz val="11"/>
        <rFont val="ＭＳ Ｐゴシック"/>
        <family val="3"/>
      </rPr>
      <t>-0.440</t>
    </r>
  </si>
  <si>
    <r>
      <rPr>
        <sz val="11"/>
        <rFont val="ＭＳ Ｐゴシック"/>
        <family val="3"/>
      </rPr>
      <t>5.62X</t>
    </r>
    <r>
      <rPr>
        <vertAlign val="superscript"/>
        <sz val="11"/>
        <rFont val="ＭＳ Ｐゴシック"/>
        <family val="3"/>
      </rPr>
      <t>-0.442</t>
    </r>
  </si>
  <si>
    <t>b</t>
  </si>
  <si>
    <t>比例配分Ｋ</t>
  </si>
  <si>
    <t>底　面</t>
  </si>
  <si>
    <r>
      <rPr>
        <sz val="11"/>
        <rFont val="ＭＳ Ｐゴシック"/>
        <family val="3"/>
      </rPr>
      <t>1.94X</t>
    </r>
    <r>
      <rPr>
        <vertAlign val="superscript"/>
        <sz val="11"/>
        <rFont val="ＭＳ Ｐゴシック"/>
        <family val="3"/>
      </rPr>
      <t>-0.328</t>
    </r>
  </si>
  <si>
    <r>
      <rPr>
        <sz val="11"/>
        <rFont val="ＭＳ Ｐゴシック"/>
        <family val="3"/>
      </rPr>
      <t>2.29X</t>
    </r>
    <r>
      <rPr>
        <vertAlign val="superscript"/>
        <sz val="11"/>
        <rFont val="ＭＳ Ｐゴシック"/>
        <family val="3"/>
      </rPr>
      <t>-0.397</t>
    </r>
  </si>
  <si>
    <r>
      <rPr>
        <sz val="11"/>
        <rFont val="ＭＳ Ｐゴシック"/>
        <family val="3"/>
      </rPr>
      <t>2.37X</t>
    </r>
    <r>
      <rPr>
        <vertAlign val="superscript"/>
        <sz val="11"/>
        <rFont val="ＭＳ Ｐゴシック"/>
        <family val="3"/>
      </rPr>
      <t>-0.488</t>
    </r>
  </si>
  <si>
    <r>
      <rPr>
        <sz val="11"/>
        <rFont val="ＭＳ Ｐゴシック"/>
        <family val="3"/>
      </rPr>
      <t>2.17X</t>
    </r>
    <r>
      <rPr>
        <vertAlign val="superscript"/>
        <sz val="11"/>
        <rFont val="ＭＳ Ｐゴシック"/>
        <family val="3"/>
      </rPr>
      <t>-0.518</t>
    </r>
  </si>
  <si>
    <r>
      <rPr>
        <sz val="11"/>
        <rFont val="ＭＳ Ｐゴシック"/>
        <family val="3"/>
      </rPr>
      <t>1.96X</t>
    </r>
    <r>
      <rPr>
        <vertAlign val="superscript"/>
        <sz val="11"/>
        <rFont val="ＭＳ Ｐゴシック"/>
        <family val="3"/>
      </rPr>
      <t>-0.554</t>
    </r>
  </si>
  <si>
    <r>
      <rPr>
        <sz val="11"/>
        <rFont val="ＭＳ Ｐゴシック"/>
        <family val="3"/>
      </rPr>
      <t>1.76X</t>
    </r>
    <r>
      <rPr>
        <vertAlign val="superscript"/>
        <sz val="11"/>
        <rFont val="ＭＳ Ｐゴシック"/>
        <family val="3"/>
      </rPr>
      <t>-0.609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</si>
</sst>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\ "/>
    <numFmt numFmtId="177" formatCode="0.000"/>
    <numFmt numFmtId="178" formatCode="0.0000"/>
    <numFmt numFmtId="179" formatCode="0.00000"/>
    <numFmt numFmtId="180" formatCode="0.000\ "/>
  </numFmts>
  <fonts count="8" x14ac:knownFonts="1">
    <font>
      <sz val="11"/>
      <name val="ＭＳ Ｐゴシック"/>
      <family val="3"/>
    </font>
    <font>
      <sz val="11"/>
      <color rgb="FF000000"/>
      <name val="ＭＳ Ｐゴシック"/>
      <family val="3"/>
    </font>
    <font>
      <sz val="9"/>
      <name val="ＭＳ Ｐゴシック"/>
      <family val="3"/>
    </font>
    <font>
      <sz val="8"/>
      <name val="ＭＳ Ｐゴシック"/>
      <family val="3"/>
    </font>
    <font>
      <sz val="10"/>
      <name val="ＭＳ Ｐゴシック"/>
      <family val="3"/>
    </font>
    <font>
      <u val="double"/>
      <sz val="11"/>
      <color rgb="FFFF0000"/>
      <name val="ＭＳ Ｐゴシック"/>
      <family val="3"/>
    </font>
    <font>
      <vertAlign val="superscript"/>
      <sz val="11"/>
      <name val="ＭＳ Ｐゴシック"/>
      <family val="3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DFDFDF"/>
      </patternFill>
    </fill>
    <fill>
      <patternFill patternType="solid">
        <fgColor rgb="FFFFFFC0"/>
        <bgColor rgb="FFFFFFCC"/>
      </patternFill>
    </fill>
    <fill>
      <patternFill patternType="solid">
        <fgColor rgb="FFDFDFDF"/>
        <bgColor rgb="FFDDDDDD"/>
      </patternFill>
    </fill>
    <fill>
      <patternFill patternType="solid">
        <fgColor rgb="FF8F8F8F"/>
        <bgColor rgb="FF808080"/>
      </patternFill>
    </fill>
    <fill>
      <patternFill patternType="solid">
        <fgColor rgb="FFEFEFEF"/>
        <bgColor rgb="FFFFFFFF"/>
      </patternFill>
    </fill>
    <fill>
      <patternFill patternType="solid">
        <fgColor rgb="FFFFFFFF"/>
        <bgColor rgb="FFEFEFE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45">
    <xf numFmtId="0" fontId="0" fillId="0" borderId="0" xfId="0"/>
    <xf numFmtId="0" fontId="0" fillId="0" borderId="9" xfId="0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9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/>
    <xf numFmtId="178" fontId="0" fillId="0" borderId="0" xfId="0" applyNumberFormat="1" applyFont="1" applyBorder="1" applyAlignment="1">
      <alignment horizontal="center" vertical="center"/>
    </xf>
    <xf numFmtId="178" fontId="0" fillId="0" borderId="0" xfId="0" applyNumberForma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177" fontId="0" fillId="3" borderId="1" xfId="0" applyNumberFormat="1" applyFill="1" applyBorder="1" applyAlignment="1" applyProtection="1">
      <alignment horizontal="center" vertical="center"/>
      <protection locked="0"/>
    </xf>
    <xf numFmtId="178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4" borderId="10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5" borderId="0" xfId="0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177" fontId="0" fillId="0" borderId="0" xfId="0" applyNumberFormat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5" xfId="0" applyFill="1" applyBorder="1" applyAlignment="1">
      <alignment horizontal="left" vertical="center"/>
    </xf>
    <xf numFmtId="0" fontId="0" fillId="6" borderId="16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77" fontId="0" fillId="0" borderId="0" xfId="0" applyNumberFormat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179" fontId="0" fillId="0" borderId="14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177" fontId="0" fillId="0" borderId="0" xfId="0" applyNumberForma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3" borderId="0" xfId="0" applyFill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5" borderId="11" xfId="0" applyFill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3" xfId="0" applyFont="1" applyBorder="1" applyAlignment="1">
      <alignment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8" xfId="0" applyFont="1" applyBorder="1" applyAlignment="1" applyProtection="1">
      <alignment horizontal="center" vertical="center"/>
    </xf>
    <xf numFmtId="180" fontId="0" fillId="0" borderId="8" xfId="0" applyNumberForma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180" fontId="0" fillId="0" borderId="12" xfId="0" applyNumberForma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FEFE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FDFDF"/>
      <rgbColor rgb="FFCCFFCC"/>
      <rgbColor rgb="FFFFFFC0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8F8F8F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720</xdr:colOff>
      <xdr:row>3</xdr:row>
      <xdr:rowOff>200160</xdr:rowOff>
    </xdr:from>
    <xdr:to>
      <xdr:col>8</xdr:col>
      <xdr:colOff>720</xdr:colOff>
      <xdr:row>6</xdr:row>
      <xdr:rowOff>190080</xdr:rowOff>
    </xdr:to>
    <xdr:sp macro="" textlink="">
      <xdr:nvSpPr>
        <xdr:cNvPr id="2" name="Line 1"/>
        <xdr:cNvSpPr/>
      </xdr:nvSpPr>
      <xdr:spPr>
        <a:xfrm>
          <a:off x="4233960" y="885960"/>
          <a:ext cx="0" cy="67572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720</xdr:colOff>
      <xdr:row>3</xdr:row>
      <xdr:rowOff>190080</xdr:rowOff>
    </xdr:from>
    <xdr:to>
      <xdr:col>14</xdr:col>
      <xdr:colOff>1080</xdr:colOff>
      <xdr:row>6</xdr:row>
      <xdr:rowOff>181440</xdr:rowOff>
    </xdr:to>
    <xdr:sp macro="" textlink="">
      <xdr:nvSpPr>
        <xdr:cNvPr id="3" name="Line 1"/>
        <xdr:cNvSpPr/>
      </xdr:nvSpPr>
      <xdr:spPr>
        <a:xfrm>
          <a:off x="7165800" y="875880"/>
          <a:ext cx="360" cy="67716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720</xdr:colOff>
      <xdr:row>4</xdr:row>
      <xdr:rowOff>0</xdr:rowOff>
    </xdr:from>
    <xdr:to>
      <xdr:col>13</xdr:col>
      <xdr:colOff>404280</xdr:colOff>
      <xdr:row>4</xdr:row>
      <xdr:rowOff>0</xdr:rowOff>
    </xdr:to>
    <xdr:sp macro="" textlink="">
      <xdr:nvSpPr>
        <xdr:cNvPr id="4" name="Line 1"/>
        <xdr:cNvSpPr/>
      </xdr:nvSpPr>
      <xdr:spPr>
        <a:xfrm>
          <a:off x="4233960" y="914400"/>
          <a:ext cx="2931120" cy="0"/>
        </a:xfrm>
        <a:prstGeom prst="line">
          <a:avLst/>
        </a:prstGeom>
        <a:ln w="9360">
          <a:solidFill>
            <a:srgbClr val="000000"/>
          </a:solidFill>
          <a:miter/>
          <a:headEnd type="arrow" w="sm" len="sm"/>
          <a:tailEnd type="arrow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437760</xdr:colOff>
      <xdr:row>5</xdr:row>
      <xdr:rowOff>0</xdr:rowOff>
    </xdr:from>
    <xdr:to>
      <xdr:col>11</xdr:col>
      <xdr:colOff>482400</xdr:colOff>
      <xdr:row>5</xdr:row>
      <xdr:rowOff>0</xdr:rowOff>
    </xdr:to>
    <xdr:sp macro="" textlink="">
      <xdr:nvSpPr>
        <xdr:cNvPr id="5" name="Line 1"/>
        <xdr:cNvSpPr/>
      </xdr:nvSpPr>
      <xdr:spPr>
        <a:xfrm>
          <a:off x="5304960" y="1143000"/>
          <a:ext cx="679680" cy="0"/>
        </a:xfrm>
        <a:prstGeom prst="line">
          <a:avLst/>
        </a:prstGeom>
        <a:ln w="9360">
          <a:solidFill>
            <a:srgbClr val="000000"/>
          </a:solidFill>
          <a:miter/>
          <a:headEnd type="arrow" w="sm" len="sm"/>
          <a:tailEnd type="arrow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492480</xdr:colOff>
      <xdr:row>6</xdr:row>
      <xdr:rowOff>0</xdr:rowOff>
    </xdr:from>
    <xdr:to>
      <xdr:col>11</xdr:col>
      <xdr:colOff>439200</xdr:colOff>
      <xdr:row>6</xdr:row>
      <xdr:rowOff>0</xdr:rowOff>
    </xdr:to>
    <xdr:sp macro="" textlink="">
      <xdr:nvSpPr>
        <xdr:cNvPr id="6" name="Line 1"/>
        <xdr:cNvSpPr/>
      </xdr:nvSpPr>
      <xdr:spPr>
        <a:xfrm>
          <a:off x="5359680" y="1371600"/>
          <a:ext cx="581760" cy="0"/>
        </a:xfrm>
        <a:prstGeom prst="line">
          <a:avLst/>
        </a:prstGeom>
        <a:ln w="9360">
          <a:solidFill>
            <a:srgbClr val="000000"/>
          </a:solidFill>
          <a:miter/>
          <a:headEnd type="arrow" w="sm" len="sm"/>
          <a:tailEnd type="arrow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317880</xdr:colOff>
      <xdr:row>11</xdr:row>
      <xdr:rowOff>218880</xdr:rowOff>
    </xdr:from>
    <xdr:to>
      <xdr:col>7</xdr:col>
      <xdr:colOff>393480</xdr:colOff>
      <xdr:row>11</xdr:row>
      <xdr:rowOff>218880</xdr:rowOff>
    </xdr:to>
    <xdr:sp macro="" textlink="">
      <xdr:nvSpPr>
        <xdr:cNvPr id="7" name="Line 1"/>
        <xdr:cNvSpPr/>
      </xdr:nvSpPr>
      <xdr:spPr>
        <a:xfrm>
          <a:off x="3238560" y="2733480"/>
          <a:ext cx="994680" cy="0"/>
        </a:xfrm>
        <a:prstGeom prst="line">
          <a:avLst/>
        </a:prstGeom>
        <a:ln w="9360">
          <a:solidFill>
            <a:srgbClr val="000000"/>
          </a:solidFill>
          <a:miter/>
          <a:tailEnd type="triangle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0</xdr:colOff>
      <xdr:row>14</xdr:row>
      <xdr:rowOff>9720</xdr:rowOff>
    </xdr:from>
    <xdr:to>
      <xdr:col>10</xdr:col>
      <xdr:colOff>416880</xdr:colOff>
      <xdr:row>14</xdr:row>
      <xdr:rowOff>18720</xdr:rowOff>
    </xdr:to>
    <xdr:sp macro="" textlink="">
      <xdr:nvSpPr>
        <xdr:cNvPr id="8" name="Line 1"/>
        <xdr:cNvSpPr/>
      </xdr:nvSpPr>
      <xdr:spPr>
        <a:xfrm>
          <a:off x="3325320" y="3210120"/>
          <a:ext cx="1958760" cy="9000"/>
        </a:xfrm>
        <a:prstGeom prst="line">
          <a:avLst/>
        </a:prstGeom>
        <a:ln w="9360">
          <a:solidFill>
            <a:srgbClr val="000000"/>
          </a:solidFill>
          <a:miter/>
          <a:tailEnd type="triangle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11160</xdr:colOff>
      <xdr:row>17</xdr:row>
      <xdr:rowOff>9720</xdr:rowOff>
    </xdr:from>
    <xdr:to>
      <xdr:col>10</xdr:col>
      <xdr:colOff>143280</xdr:colOff>
      <xdr:row>17</xdr:row>
      <xdr:rowOff>9720</xdr:rowOff>
    </xdr:to>
    <xdr:sp macro="" textlink="">
      <xdr:nvSpPr>
        <xdr:cNvPr id="9" name="Line 1"/>
        <xdr:cNvSpPr/>
      </xdr:nvSpPr>
      <xdr:spPr>
        <a:xfrm>
          <a:off x="3336480" y="3895920"/>
          <a:ext cx="1674000" cy="0"/>
        </a:xfrm>
        <a:prstGeom prst="line">
          <a:avLst/>
        </a:prstGeom>
        <a:ln w="9360">
          <a:solidFill>
            <a:srgbClr val="000000"/>
          </a:solidFill>
          <a:miter/>
          <a:tailEnd type="triangle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394200</xdr:colOff>
      <xdr:row>8</xdr:row>
      <xdr:rowOff>0</xdr:rowOff>
    </xdr:from>
    <xdr:to>
      <xdr:col>8</xdr:col>
      <xdr:colOff>164880</xdr:colOff>
      <xdr:row>8</xdr:row>
      <xdr:rowOff>0</xdr:rowOff>
    </xdr:to>
    <xdr:sp macro="" textlink="">
      <xdr:nvSpPr>
        <xdr:cNvPr id="10" name="Line 1"/>
        <xdr:cNvSpPr/>
      </xdr:nvSpPr>
      <xdr:spPr>
        <a:xfrm>
          <a:off x="3314880" y="1828800"/>
          <a:ext cx="1083240" cy="0"/>
        </a:xfrm>
        <a:prstGeom prst="line">
          <a:avLst/>
        </a:prstGeom>
        <a:ln w="9360">
          <a:solidFill>
            <a:srgbClr val="000000"/>
          </a:solidFill>
          <a:miter/>
          <a:tailEnd type="triangle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77400</xdr:colOff>
      <xdr:row>19</xdr:row>
      <xdr:rowOff>9720</xdr:rowOff>
    </xdr:from>
    <xdr:to>
      <xdr:col>15</xdr:col>
      <xdr:colOff>602640</xdr:colOff>
      <xdr:row>19</xdr:row>
      <xdr:rowOff>9720</xdr:rowOff>
    </xdr:to>
    <xdr:sp macro="" textlink="">
      <xdr:nvSpPr>
        <xdr:cNvPr id="11" name="Line 1"/>
        <xdr:cNvSpPr/>
      </xdr:nvSpPr>
      <xdr:spPr>
        <a:xfrm>
          <a:off x="7242480" y="4353120"/>
          <a:ext cx="92988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99000</xdr:colOff>
      <xdr:row>9</xdr:row>
      <xdr:rowOff>0</xdr:rowOff>
    </xdr:from>
    <xdr:to>
      <xdr:col>15</xdr:col>
      <xdr:colOff>624600</xdr:colOff>
      <xdr:row>9</xdr:row>
      <xdr:rowOff>0</xdr:rowOff>
    </xdr:to>
    <xdr:sp macro="" textlink="">
      <xdr:nvSpPr>
        <xdr:cNvPr id="12" name="Line 1"/>
        <xdr:cNvSpPr/>
      </xdr:nvSpPr>
      <xdr:spPr>
        <a:xfrm>
          <a:off x="7264080" y="2057400"/>
          <a:ext cx="93024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15</xdr:col>
      <xdr:colOff>591480</xdr:colOff>
      <xdr:row>9</xdr:row>
      <xdr:rowOff>0</xdr:rowOff>
    </xdr:from>
    <xdr:to>
      <xdr:col>15</xdr:col>
      <xdr:colOff>592200</xdr:colOff>
      <xdr:row>17</xdr:row>
      <xdr:rowOff>190080</xdr:rowOff>
    </xdr:to>
    <xdr:sp macro="" textlink="">
      <xdr:nvSpPr>
        <xdr:cNvPr id="13" name="Line 1"/>
        <xdr:cNvSpPr/>
      </xdr:nvSpPr>
      <xdr:spPr>
        <a:xfrm flipV="1">
          <a:off x="8161200" y="2057400"/>
          <a:ext cx="720" cy="2018880"/>
        </a:xfrm>
        <a:prstGeom prst="line">
          <a:avLst/>
        </a:prstGeom>
        <a:ln w="9360">
          <a:solidFill>
            <a:srgbClr val="000000"/>
          </a:solidFill>
          <a:miter/>
          <a:headEnd type="arrow" w="sm" len="sm"/>
          <a:tailEnd type="arrow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1080</xdr:colOff>
      <xdr:row>9</xdr:row>
      <xdr:rowOff>0</xdr:rowOff>
    </xdr:from>
    <xdr:to>
      <xdr:col>14</xdr:col>
      <xdr:colOff>12600</xdr:colOff>
      <xdr:row>18</xdr:row>
      <xdr:rowOff>9720</xdr:rowOff>
    </xdr:to>
    <xdr:sp macro="" textlink="">
      <xdr:nvSpPr>
        <xdr:cNvPr id="14" name="CustomShape 1"/>
        <xdr:cNvSpPr/>
      </xdr:nvSpPr>
      <xdr:spPr>
        <a:xfrm>
          <a:off x="4234320" y="2057400"/>
          <a:ext cx="2943360" cy="2067120"/>
        </a:xfrm>
        <a:prstGeom prst="rect">
          <a:avLst/>
        </a:prstGeom>
        <a:noFill/>
        <a:ln w="28440">
          <a:solidFill>
            <a:srgbClr val="00008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15</xdr:col>
      <xdr:colOff>0</xdr:colOff>
      <xdr:row>18</xdr:row>
      <xdr:rowOff>9720</xdr:rowOff>
    </xdr:from>
    <xdr:to>
      <xdr:col>15</xdr:col>
      <xdr:colOff>720</xdr:colOff>
      <xdr:row>18</xdr:row>
      <xdr:rowOff>228600</xdr:rowOff>
    </xdr:to>
    <xdr:sp macro="" textlink="">
      <xdr:nvSpPr>
        <xdr:cNvPr id="15" name="Line 1"/>
        <xdr:cNvSpPr/>
      </xdr:nvSpPr>
      <xdr:spPr>
        <a:xfrm>
          <a:off x="7569720" y="4124520"/>
          <a:ext cx="720" cy="218880"/>
        </a:xfrm>
        <a:prstGeom prst="line">
          <a:avLst/>
        </a:prstGeom>
        <a:ln w="9360">
          <a:solidFill>
            <a:srgbClr val="000000"/>
          </a:solidFill>
          <a:miter/>
          <a:headEnd type="arrow" w="sm" len="sm"/>
          <a:tailEnd type="arrow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77400</xdr:colOff>
      <xdr:row>18</xdr:row>
      <xdr:rowOff>0</xdr:rowOff>
    </xdr:from>
    <xdr:to>
      <xdr:col>15</xdr:col>
      <xdr:colOff>602640</xdr:colOff>
      <xdr:row>18</xdr:row>
      <xdr:rowOff>0</xdr:rowOff>
    </xdr:to>
    <xdr:sp macro="" textlink="">
      <xdr:nvSpPr>
        <xdr:cNvPr id="16" name="Line 1"/>
        <xdr:cNvSpPr/>
      </xdr:nvSpPr>
      <xdr:spPr>
        <a:xfrm>
          <a:off x="7242480" y="4114800"/>
          <a:ext cx="92988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448920</xdr:colOff>
      <xdr:row>12</xdr:row>
      <xdr:rowOff>209880</xdr:rowOff>
    </xdr:from>
    <xdr:to>
      <xdr:col>11</xdr:col>
      <xdr:colOff>461520</xdr:colOff>
      <xdr:row>15</xdr:row>
      <xdr:rowOff>57240</xdr:rowOff>
    </xdr:to>
    <xdr:sp macro="" textlink="">
      <xdr:nvSpPr>
        <xdr:cNvPr id="17" name="CustomShape 1"/>
        <xdr:cNvSpPr/>
      </xdr:nvSpPr>
      <xdr:spPr>
        <a:xfrm>
          <a:off x="5316120" y="2953080"/>
          <a:ext cx="647640" cy="533160"/>
        </a:xfrm>
        <a:prstGeom prst="ellipse">
          <a:avLst/>
        </a:prstGeom>
        <a:blipFill>
          <a:blip xmlns:r="http://schemas.openxmlformats.org/officeDocument/2006/relationships" r:embed="rId1"/>
          <a:tile/>
        </a:blipFill>
        <a:ln w="2484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525240</xdr:colOff>
      <xdr:row>13</xdr:row>
      <xdr:rowOff>47160</xdr:rowOff>
    </xdr:from>
    <xdr:to>
      <xdr:col>11</xdr:col>
      <xdr:colOff>384120</xdr:colOff>
      <xdr:row>14</xdr:row>
      <xdr:rowOff>218880</xdr:rowOff>
    </xdr:to>
    <xdr:sp macro="" textlink="">
      <xdr:nvSpPr>
        <xdr:cNvPr id="18" name="CustomShape 1"/>
        <xdr:cNvSpPr/>
      </xdr:nvSpPr>
      <xdr:spPr>
        <a:xfrm>
          <a:off x="5392440" y="3018960"/>
          <a:ext cx="493920" cy="400320"/>
        </a:xfrm>
        <a:prstGeom prst="ellipse">
          <a:avLst/>
        </a:prstGeom>
        <a:solidFill>
          <a:srgbClr val="FFFFFF"/>
        </a:solidFill>
        <a:ln w="2484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448920</xdr:colOff>
      <xdr:row>4</xdr:row>
      <xdr:rowOff>190080</xdr:rowOff>
    </xdr:from>
    <xdr:to>
      <xdr:col>10</xdr:col>
      <xdr:colOff>449640</xdr:colOff>
      <xdr:row>14</xdr:row>
      <xdr:rowOff>38520</xdr:rowOff>
    </xdr:to>
    <xdr:sp macro="" textlink="">
      <xdr:nvSpPr>
        <xdr:cNvPr id="19" name="Line 1"/>
        <xdr:cNvSpPr/>
      </xdr:nvSpPr>
      <xdr:spPr>
        <a:xfrm>
          <a:off x="5316120" y="1104480"/>
          <a:ext cx="720" cy="213444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492120</xdr:colOff>
      <xdr:row>5</xdr:row>
      <xdr:rowOff>171360</xdr:rowOff>
    </xdr:from>
    <xdr:to>
      <xdr:col>10</xdr:col>
      <xdr:colOff>504000</xdr:colOff>
      <xdr:row>13</xdr:row>
      <xdr:rowOff>104400</xdr:rowOff>
    </xdr:to>
    <xdr:sp macro="" textlink="">
      <xdr:nvSpPr>
        <xdr:cNvPr id="20" name="Line 1"/>
        <xdr:cNvSpPr/>
      </xdr:nvSpPr>
      <xdr:spPr>
        <a:xfrm flipH="1">
          <a:off x="5359320" y="1314360"/>
          <a:ext cx="11880" cy="176184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405000</xdr:colOff>
      <xdr:row>5</xdr:row>
      <xdr:rowOff>171360</xdr:rowOff>
    </xdr:from>
    <xdr:to>
      <xdr:col>11</xdr:col>
      <xdr:colOff>417240</xdr:colOff>
      <xdr:row>13</xdr:row>
      <xdr:rowOff>104400</xdr:rowOff>
    </xdr:to>
    <xdr:sp macro="" textlink="">
      <xdr:nvSpPr>
        <xdr:cNvPr id="21" name="Line 1"/>
        <xdr:cNvSpPr/>
      </xdr:nvSpPr>
      <xdr:spPr>
        <a:xfrm flipH="1">
          <a:off x="5907240" y="1314360"/>
          <a:ext cx="12240" cy="176184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470520</xdr:colOff>
      <xdr:row>4</xdr:row>
      <xdr:rowOff>181440</xdr:rowOff>
    </xdr:from>
    <xdr:to>
      <xdr:col>11</xdr:col>
      <xdr:colOff>471600</xdr:colOff>
      <xdr:row>14</xdr:row>
      <xdr:rowOff>28440</xdr:rowOff>
    </xdr:to>
    <xdr:sp macro="" textlink="">
      <xdr:nvSpPr>
        <xdr:cNvPr id="22" name="Line 1"/>
        <xdr:cNvSpPr/>
      </xdr:nvSpPr>
      <xdr:spPr>
        <a:xfrm>
          <a:off x="5972760" y="1095840"/>
          <a:ext cx="1080" cy="213300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720</xdr:colOff>
      <xdr:row>3</xdr:row>
      <xdr:rowOff>200160</xdr:rowOff>
    </xdr:from>
    <xdr:to>
      <xdr:col>8</xdr:col>
      <xdr:colOff>720</xdr:colOff>
      <xdr:row>6</xdr:row>
      <xdr:rowOff>190080</xdr:rowOff>
    </xdr:to>
    <xdr:sp macro="" textlink="">
      <xdr:nvSpPr>
        <xdr:cNvPr id="21" name="Line 1"/>
        <xdr:cNvSpPr/>
      </xdr:nvSpPr>
      <xdr:spPr>
        <a:xfrm>
          <a:off x="4233960" y="885960"/>
          <a:ext cx="0" cy="67572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720</xdr:colOff>
      <xdr:row>3</xdr:row>
      <xdr:rowOff>190080</xdr:rowOff>
    </xdr:from>
    <xdr:to>
      <xdr:col>14</xdr:col>
      <xdr:colOff>1080</xdr:colOff>
      <xdr:row>6</xdr:row>
      <xdr:rowOff>181440</xdr:rowOff>
    </xdr:to>
    <xdr:sp macro="" textlink="">
      <xdr:nvSpPr>
        <xdr:cNvPr id="22" name="Line 1"/>
        <xdr:cNvSpPr/>
      </xdr:nvSpPr>
      <xdr:spPr>
        <a:xfrm>
          <a:off x="7165800" y="875880"/>
          <a:ext cx="360" cy="67716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720</xdr:colOff>
      <xdr:row>4</xdr:row>
      <xdr:rowOff>0</xdr:rowOff>
    </xdr:from>
    <xdr:to>
      <xdr:col>13</xdr:col>
      <xdr:colOff>404280</xdr:colOff>
      <xdr:row>4</xdr:row>
      <xdr:rowOff>0</xdr:rowOff>
    </xdr:to>
    <xdr:sp macro="" textlink="">
      <xdr:nvSpPr>
        <xdr:cNvPr id="23" name="Line 1"/>
        <xdr:cNvSpPr/>
      </xdr:nvSpPr>
      <xdr:spPr>
        <a:xfrm>
          <a:off x="4233960" y="914400"/>
          <a:ext cx="2931120" cy="0"/>
        </a:xfrm>
        <a:prstGeom prst="line">
          <a:avLst/>
        </a:prstGeom>
        <a:ln w="9360">
          <a:solidFill>
            <a:srgbClr val="000000"/>
          </a:solidFill>
          <a:miter/>
          <a:headEnd type="arrow" w="sm" len="sm"/>
          <a:tailEnd type="arrow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317880</xdr:colOff>
      <xdr:row>11</xdr:row>
      <xdr:rowOff>218880</xdr:rowOff>
    </xdr:from>
    <xdr:to>
      <xdr:col>7</xdr:col>
      <xdr:colOff>393480</xdr:colOff>
      <xdr:row>11</xdr:row>
      <xdr:rowOff>218880</xdr:rowOff>
    </xdr:to>
    <xdr:sp macro="" textlink="">
      <xdr:nvSpPr>
        <xdr:cNvPr id="24" name="Line 1"/>
        <xdr:cNvSpPr/>
      </xdr:nvSpPr>
      <xdr:spPr>
        <a:xfrm>
          <a:off x="3238560" y="2733480"/>
          <a:ext cx="994680" cy="0"/>
        </a:xfrm>
        <a:prstGeom prst="line">
          <a:avLst/>
        </a:prstGeom>
        <a:ln w="9360">
          <a:solidFill>
            <a:srgbClr val="000000"/>
          </a:solidFill>
          <a:miter/>
          <a:tailEnd type="triangle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11160</xdr:colOff>
      <xdr:row>17</xdr:row>
      <xdr:rowOff>9720</xdr:rowOff>
    </xdr:from>
    <xdr:to>
      <xdr:col>10</xdr:col>
      <xdr:colOff>143280</xdr:colOff>
      <xdr:row>17</xdr:row>
      <xdr:rowOff>9720</xdr:rowOff>
    </xdr:to>
    <xdr:sp macro="" textlink="">
      <xdr:nvSpPr>
        <xdr:cNvPr id="25" name="Line 1"/>
        <xdr:cNvSpPr/>
      </xdr:nvSpPr>
      <xdr:spPr>
        <a:xfrm>
          <a:off x="3336480" y="3895920"/>
          <a:ext cx="1674000" cy="0"/>
        </a:xfrm>
        <a:prstGeom prst="line">
          <a:avLst/>
        </a:prstGeom>
        <a:ln w="9360">
          <a:solidFill>
            <a:srgbClr val="000000"/>
          </a:solidFill>
          <a:miter/>
          <a:tailEnd type="triangle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394200</xdr:colOff>
      <xdr:row>8</xdr:row>
      <xdr:rowOff>0</xdr:rowOff>
    </xdr:from>
    <xdr:to>
      <xdr:col>8</xdr:col>
      <xdr:colOff>164880</xdr:colOff>
      <xdr:row>8</xdr:row>
      <xdr:rowOff>0</xdr:rowOff>
    </xdr:to>
    <xdr:sp macro="" textlink="">
      <xdr:nvSpPr>
        <xdr:cNvPr id="26" name="Line 1"/>
        <xdr:cNvSpPr/>
      </xdr:nvSpPr>
      <xdr:spPr>
        <a:xfrm>
          <a:off x="3314880" y="1828800"/>
          <a:ext cx="1083240" cy="0"/>
        </a:xfrm>
        <a:prstGeom prst="line">
          <a:avLst/>
        </a:prstGeom>
        <a:ln w="9360">
          <a:solidFill>
            <a:srgbClr val="000000"/>
          </a:solidFill>
          <a:miter/>
          <a:tailEnd type="triangle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77400</xdr:colOff>
      <xdr:row>19</xdr:row>
      <xdr:rowOff>9720</xdr:rowOff>
    </xdr:from>
    <xdr:to>
      <xdr:col>15</xdr:col>
      <xdr:colOff>603000</xdr:colOff>
      <xdr:row>19</xdr:row>
      <xdr:rowOff>9720</xdr:rowOff>
    </xdr:to>
    <xdr:sp macro="" textlink="">
      <xdr:nvSpPr>
        <xdr:cNvPr id="27" name="Line 1"/>
        <xdr:cNvSpPr/>
      </xdr:nvSpPr>
      <xdr:spPr>
        <a:xfrm>
          <a:off x="7242480" y="4353120"/>
          <a:ext cx="97416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99000</xdr:colOff>
      <xdr:row>9</xdr:row>
      <xdr:rowOff>0</xdr:rowOff>
    </xdr:from>
    <xdr:to>
      <xdr:col>15</xdr:col>
      <xdr:colOff>624600</xdr:colOff>
      <xdr:row>9</xdr:row>
      <xdr:rowOff>0</xdr:rowOff>
    </xdr:to>
    <xdr:sp macro="" textlink="">
      <xdr:nvSpPr>
        <xdr:cNvPr id="28" name="Line 1"/>
        <xdr:cNvSpPr/>
      </xdr:nvSpPr>
      <xdr:spPr>
        <a:xfrm>
          <a:off x="7264080" y="2057400"/>
          <a:ext cx="97416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720</xdr:colOff>
      <xdr:row>3</xdr:row>
      <xdr:rowOff>200160</xdr:rowOff>
    </xdr:from>
    <xdr:to>
      <xdr:col>8</xdr:col>
      <xdr:colOff>720</xdr:colOff>
      <xdr:row>6</xdr:row>
      <xdr:rowOff>190080</xdr:rowOff>
    </xdr:to>
    <xdr:sp macro="" textlink="">
      <xdr:nvSpPr>
        <xdr:cNvPr id="29" name="Line 1"/>
        <xdr:cNvSpPr/>
      </xdr:nvSpPr>
      <xdr:spPr>
        <a:xfrm>
          <a:off x="4233960" y="885960"/>
          <a:ext cx="0" cy="67572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720</xdr:colOff>
      <xdr:row>3</xdr:row>
      <xdr:rowOff>190080</xdr:rowOff>
    </xdr:from>
    <xdr:to>
      <xdr:col>14</xdr:col>
      <xdr:colOff>1080</xdr:colOff>
      <xdr:row>6</xdr:row>
      <xdr:rowOff>181440</xdr:rowOff>
    </xdr:to>
    <xdr:sp macro="" textlink="">
      <xdr:nvSpPr>
        <xdr:cNvPr id="30" name="Line 1"/>
        <xdr:cNvSpPr/>
      </xdr:nvSpPr>
      <xdr:spPr>
        <a:xfrm>
          <a:off x="7165800" y="875880"/>
          <a:ext cx="360" cy="67716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394200</xdr:colOff>
      <xdr:row>4</xdr:row>
      <xdr:rowOff>190080</xdr:rowOff>
    </xdr:from>
    <xdr:to>
      <xdr:col>8</xdr:col>
      <xdr:colOff>394560</xdr:colOff>
      <xdr:row>6</xdr:row>
      <xdr:rowOff>209880</xdr:rowOff>
    </xdr:to>
    <xdr:sp macro="" textlink="">
      <xdr:nvSpPr>
        <xdr:cNvPr id="31" name="Line 1"/>
        <xdr:cNvSpPr/>
      </xdr:nvSpPr>
      <xdr:spPr>
        <a:xfrm>
          <a:off x="4627440" y="1104480"/>
          <a:ext cx="360" cy="47700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720</xdr:colOff>
      <xdr:row>6</xdr:row>
      <xdr:rowOff>218880</xdr:rowOff>
    </xdr:to>
    <xdr:sp macro="" textlink="">
      <xdr:nvSpPr>
        <xdr:cNvPr id="32" name="Line 1"/>
        <xdr:cNvSpPr/>
      </xdr:nvSpPr>
      <xdr:spPr>
        <a:xfrm flipH="1">
          <a:off x="4867200" y="1371600"/>
          <a:ext cx="720" cy="21888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720</xdr:colOff>
      <xdr:row>4</xdr:row>
      <xdr:rowOff>0</xdr:rowOff>
    </xdr:from>
    <xdr:to>
      <xdr:col>13</xdr:col>
      <xdr:colOff>404280</xdr:colOff>
      <xdr:row>4</xdr:row>
      <xdr:rowOff>0</xdr:rowOff>
    </xdr:to>
    <xdr:sp macro="" textlink="">
      <xdr:nvSpPr>
        <xdr:cNvPr id="33" name="Line 1"/>
        <xdr:cNvSpPr/>
      </xdr:nvSpPr>
      <xdr:spPr>
        <a:xfrm>
          <a:off x="4233960" y="914400"/>
          <a:ext cx="2931120" cy="0"/>
        </a:xfrm>
        <a:prstGeom prst="line">
          <a:avLst/>
        </a:prstGeom>
        <a:ln w="9360">
          <a:solidFill>
            <a:srgbClr val="000000"/>
          </a:solidFill>
          <a:miter/>
          <a:headEnd type="arrow" w="sm" len="sm"/>
          <a:tailEnd type="arrow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383400</xdr:colOff>
      <xdr:row>5</xdr:row>
      <xdr:rowOff>18720</xdr:rowOff>
    </xdr:from>
    <xdr:to>
      <xdr:col>12</xdr:col>
      <xdr:colOff>207720</xdr:colOff>
      <xdr:row>5</xdr:row>
      <xdr:rowOff>18720</xdr:rowOff>
    </xdr:to>
    <xdr:sp macro="" textlink="">
      <xdr:nvSpPr>
        <xdr:cNvPr id="34" name="Line 1"/>
        <xdr:cNvSpPr/>
      </xdr:nvSpPr>
      <xdr:spPr>
        <a:xfrm>
          <a:off x="4616640" y="1161720"/>
          <a:ext cx="2122560" cy="0"/>
        </a:xfrm>
        <a:prstGeom prst="line">
          <a:avLst/>
        </a:prstGeom>
        <a:ln w="9360">
          <a:solidFill>
            <a:srgbClr val="000000"/>
          </a:solidFill>
          <a:miter/>
          <a:headEnd type="arrow" w="sm" len="sm"/>
          <a:tailEnd type="arrow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196560</xdr:colOff>
      <xdr:row>6</xdr:row>
      <xdr:rowOff>85680</xdr:rowOff>
    </xdr:from>
    <xdr:to>
      <xdr:col>11</xdr:col>
      <xdr:colOff>1019160</xdr:colOff>
      <xdr:row>6</xdr:row>
      <xdr:rowOff>85680</xdr:rowOff>
    </xdr:to>
    <xdr:sp macro="" textlink="">
      <xdr:nvSpPr>
        <xdr:cNvPr id="35" name="Line 1"/>
        <xdr:cNvSpPr/>
      </xdr:nvSpPr>
      <xdr:spPr>
        <a:xfrm>
          <a:off x="4834440" y="1457280"/>
          <a:ext cx="1686960" cy="0"/>
        </a:xfrm>
        <a:prstGeom prst="line">
          <a:avLst/>
        </a:prstGeom>
        <a:ln w="9360">
          <a:solidFill>
            <a:srgbClr val="000000"/>
          </a:solidFill>
          <a:miter/>
          <a:headEnd type="arrow" w="sm" len="sm"/>
          <a:tailEnd type="arrow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317880</xdr:colOff>
      <xdr:row>11</xdr:row>
      <xdr:rowOff>218880</xdr:rowOff>
    </xdr:from>
    <xdr:to>
      <xdr:col>7</xdr:col>
      <xdr:colOff>393480</xdr:colOff>
      <xdr:row>11</xdr:row>
      <xdr:rowOff>218880</xdr:rowOff>
    </xdr:to>
    <xdr:sp macro="" textlink="">
      <xdr:nvSpPr>
        <xdr:cNvPr id="36" name="Line 1"/>
        <xdr:cNvSpPr/>
      </xdr:nvSpPr>
      <xdr:spPr>
        <a:xfrm>
          <a:off x="3238560" y="2733480"/>
          <a:ext cx="994680" cy="0"/>
        </a:xfrm>
        <a:prstGeom prst="line">
          <a:avLst/>
        </a:prstGeom>
        <a:ln w="9360">
          <a:solidFill>
            <a:srgbClr val="000000"/>
          </a:solidFill>
          <a:miter/>
          <a:tailEnd type="triangle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9</xdr:col>
      <xdr:colOff>109800</xdr:colOff>
      <xdr:row>14</xdr:row>
      <xdr:rowOff>0</xdr:rowOff>
    </xdr:to>
    <xdr:sp macro="" textlink="">
      <xdr:nvSpPr>
        <xdr:cNvPr id="37" name="Line 1"/>
        <xdr:cNvSpPr/>
      </xdr:nvSpPr>
      <xdr:spPr>
        <a:xfrm>
          <a:off x="3325320" y="3200400"/>
          <a:ext cx="1422360" cy="0"/>
        </a:xfrm>
        <a:prstGeom prst="line">
          <a:avLst/>
        </a:prstGeom>
        <a:ln w="9360">
          <a:solidFill>
            <a:srgbClr val="000000"/>
          </a:solidFill>
          <a:miter/>
          <a:tailEnd type="triangle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11160</xdr:colOff>
      <xdr:row>17</xdr:row>
      <xdr:rowOff>9720</xdr:rowOff>
    </xdr:from>
    <xdr:to>
      <xdr:col>10</xdr:col>
      <xdr:colOff>143280</xdr:colOff>
      <xdr:row>17</xdr:row>
      <xdr:rowOff>9720</xdr:rowOff>
    </xdr:to>
    <xdr:sp macro="" textlink="">
      <xdr:nvSpPr>
        <xdr:cNvPr id="38" name="Line 1"/>
        <xdr:cNvSpPr/>
      </xdr:nvSpPr>
      <xdr:spPr>
        <a:xfrm>
          <a:off x="3336480" y="3895920"/>
          <a:ext cx="1674000" cy="0"/>
        </a:xfrm>
        <a:prstGeom prst="line">
          <a:avLst/>
        </a:prstGeom>
        <a:ln w="9360">
          <a:solidFill>
            <a:srgbClr val="000000"/>
          </a:solidFill>
          <a:miter/>
          <a:tailEnd type="triangle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394200</xdr:colOff>
      <xdr:row>8</xdr:row>
      <xdr:rowOff>0</xdr:rowOff>
    </xdr:from>
    <xdr:to>
      <xdr:col>8</xdr:col>
      <xdr:colOff>164880</xdr:colOff>
      <xdr:row>8</xdr:row>
      <xdr:rowOff>0</xdr:rowOff>
    </xdr:to>
    <xdr:sp macro="" textlink="">
      <xdr:nvSpPr>
        <xdr:cNvPr id="39" name="Line 1"/>
        <xdr:cNvSpPr/>
      </xdr:nvSpPr>
      <xdr:spPr>
        <a:xfrm>
          <a:off x="3314880" y="1828800"/>
          <a:ext cx="1083240" cy="0"/>
        </a:xfrm>
        <a:prstGeom prst="line">
          <a:avLst/>
        </a:prstGeom>
        <a:ln w="9360">
          <a:solidFill>
            <a:srgbClr val="000000"/>
          </a:solidFill>
          <a:miter/>
          <a:tailEnd type="triangle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77400</xdr:colOff>
      <xdr:row>19</xdr:row>
      <xdr:rowOff>9720</xdr:rowOff>
    </xdr:from>
    <xdr:to>
      <xdr:col>15</xdr:col>
      <xdr:colOff>603000</xdr:colOff>
      <xdr:row>19</xdr:row>
      <xdr:rowOff>9720</xdr:rowOff>
    </xdr:to>
    <xdr:sp macro="" textlink="">
      <xdr:nvSpPr>
        <xdr:cNvPr id="40" name="Line 1"/>
        <xdr:cNvSpPr/>
      </xdr:nvSpPr>
      <xdr:spPr>
        <a:xfrm>
          <a:off x="7242480" y="4353120"/>
          <a:ext cx="97416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99000</xdr:colOff>
      <xdr:row>9</xdr:row>
      <xdr:rowOff>0</xdr:rowOff>
    </xdr:from>
    <xdr:to>
      <xdr:col>15</xdr:col>
      <xdr:colOff>624600</xdr:colOff>
      <xdr:row>9</xdr:row>
      <xdr:rowOff>0</xdr:rowOff>
    </xdr:to>
    <xdr:sp macro="" textlink="">
      <xdr:nvSpPr>
        <xdr:cNvPr id="41" name="Line 1"/>
        <xdr:cNvSpPr/>
      </xdr:nvSpPr>
      <xdr:spPr>
        <a:xfrm>
          <a:off x="7264080" y="2057400"/>
          <a:ext cx="97416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15</xdr:col>
      <xdr:colOff>580320</xdr:colOff>
      <xdr:row>9</xdr:row>
      <xdr:rowOff>0</xdr:rowOff>
    </xdr:from>
    <xdr:to>
      <xdr:col>15</xdr:col>
      <xdr:colOff>581040</xdr:colOff>
      <xdr:row>17</xdr:row>
      <xdr:rowOff>190080</xdr:rowOff>
    </xdr:to>
    <xdr:sp macro="" textlink="">
      <xdr:nvSpPr>
        <xdr:cNvPr id="42" name="Line 1"/>
        <xdr:cNvSpPr/>
      </xdr:nvSpPr>
      <xdr:spPr>
        <a:xfrm flipV="1">
          <a:off x="8193960" y="2057400"/>
          <a:ext cx="720" cy="2018880"/>
        </a:xfrm>
        <a:prstGeom prst="line">
          <a:avLst/>
        </a:prstGeom>
        <a:ln w="9360">
          <a:solidFill>
            <a:srgbClr val="000000"/>
          </a:solidFill>
          <a:miter/>
          <a:headEnd type="arrow" w="sm" len="sm"/>
          <a:tailEnd type="arrow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1018440</xdr:colOff>
      <xdr:row>6</xdr:row>
      <xdr:rowOff>0</xdr:rowOff>
    </xdr:from>
    <xdr:to>
      <xdr:col>11</xdr:col>
      <xdr:colOff>1019160</xdr:colOff>
      <xdr:row>6</xdr:row>
      <xdr:rowOff>218880</xdr:rowOff>
    </xdr:to>
    <xdr:sp macro="" textlink="">
      <xdr:nvSpPr>
        <xdr:cNvPr id="43" name="Line 1"/>
        <xdr:cNvSpPr/>
      </xdr:nvSpPr>
      <xdr:spPr>
        <a:xfrm>
          <a:off x="6520680" y="1371600"/>
          <a:ext cx="720" cy="21888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0</xdr:colOff>
      <xdr:row>4</xdr:row>
      <xdr:rowOff>181440</xdr:rowOff>
    </xdr:from>
    <xdr:to>
      <xdr:col>13</xdr:col>
      <xdr:colOff>360</xdr:colOff>
      <xdr:row>6</xdr:row>
      <xdr:rowOff>190080</xdr:rowOff>
    </xdr:to>
    <xdr:sp macro="" textlink="">
      <xdr:nvSpPr>
        <xdr:cNvPr id="44" name="Line 1"/>
        <xdr:cNvSpPr/>
      </xdr:nvSpPr>
      <xdr:spPr>
        <a:xfrm>
          <a:off x="6760800" y="1095840"/>
          <a:ext cx="360" cy="46584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77400</xdr:colOff>
      <xdr:row>18</xdr:row>
      <xdr:rowOff>9720</xdr:rowOff>
    </xdr:from>
    <xdr:to>
      <xdr:col>15</xdr:col>
      <xdr:colOff>603000</xdr:colOff>
      <xdr:row>18</xdr:row>
      <xdr:rowOff>9720</xdr:rowOff>
    </xdr:to>
    <xdr:sp macro="" textlink="">
      <xdr:nvSpPr>
        <xdr:cNvPr id="45" name="Line 1"/>
        <xdr:cNvSpPr/>
      </xdr:nvSpPr>
      <xdr:spPr>
        <a:xfrm>
          <a:off x="7242480" y="4124520"/>
          <a:ext cx="97416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15</xdr:col>
      <xdr:colOff>0</xdr:colOff>
      <xdr:row>18</xdr:row>
      <xdr:rowOff>9720</xdr:rowOff>
    </xdr:from>
    <xdr:to>
      <xdr:col>15</xdr:col>
      <xdr:colOff>720</xdr:colOff>
      <xdr:row>18</xdr:row>
      <xdr:rowOff>228600</xdr:rowOff>
    </xdr:to>
    <xdr:sp macro="" textlink="">
      <xdr:nvSpPr>
        <xdr:cNvPr id="46" name="Line 1"/>
        <xdr:cNvSpPr/>
      </xdr:nvSpPr>
      <xdr:spPr>
        <a:xfrm flipH="1" flipV="1">
          <a:off x="7613640" y="4124520"/>
          <a:ext cx="720" cy="218880"/>
        </a:xfrm>
        <a:prstGeom prst="line">
          <a:avLst/>
        </a:prstGeom>
        <a:ln w="9360">
          <a:solidFill>
            <a:srgbClr val="000000"/>
          </a:solidFill>
          <a:miter/>
          <a:headEnd type="arrow" w="sm" len="sm"/>
          <a:tailEnd type="arrow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656640</xdr:colOff>
      <xdr:row>34</xdr:row>
      <xdr:rowOff>124560</xdr:rowOff>
    </xdr:from>
    <xdr:to>
      <xdr:col>26</xdr:col>
      <xdr:colOff>231120</xdr:colOff>
      <xdr:row>34</xdr:row>
      <xdr:rowOff>124560</xdr:rowOff>
    </xdr:to>
    <xdr:sp macro="" textlink="">
      <xdr:nvSpPr>
        <xdr:cNvPr id="47" name="Line 1"/>
        <xdr:cNvSpPr/>
      </xdr:nvSpPr>
      <xdr:spPr>
        <a:xfrm>
          <a:off x="14474160" y="8011080"/>
          <a:ext cx="36252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66240</xdr:colOff>
      <xdr:row>16</xdr:row>
      <xdr:rowOff>9720</xdr:rowOff>
    </xdr:from>
    <xdr:to>
      <xdr:col>15</xdr:col>
      <xdr:colOff>361800</xdr:colOff>
      <xdr:row>16</xdr:row>
      <xdr:rowOff>9720</xdr:rowOff>
    </xdr:to>
    <xdr:sp macro="" textlink="">
      <xdr:nvSpPr>
        <xdr:cNvPr id="48" name="Line 1"/>
        <xdr:cNvSpPr/>
      </xdr:nvSpPr>
      <xdr:spPr>
        <a:xfrm>
          <a:off x="7231320" y="3667320"/>
          <a:ext cx="74412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66240</xdr:colOff>
      <xdr:row>15</xdr:row>
      <xdr:rowOff>0</xdr:rowOff>
    </xdr:from>
    <xdr:to>
      <xdr:col>15</xdr:col>
      <xdr:colOff>23040</xdr:colOff>
      <xdr:row>15</xdr:row>
      <xdr:rowOff>0</xdr:rowOff>
    </xdr:to>
    <xdr:sp macro="" textlink="">
      <xdr:nvSpPr>
        <xdr:cNvPr id="49" name="Line 1"/>
        <xdr:cNvSpPr/>
      </xdr:nvSpPr>
      <xdr:spPr>
        <a:xfrm>
          <a:off x="7231320" y="3429000"/>
          <a:ext cx="40536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15</xdr:col>
      <xdr:colOff>306720</xdr:colOff>
      <xdr:row>9</xdr:row>
      <xdr:rowOff>0</xdr:rowOff>
    </xdr:from>
    <xdr:to>
      <xdr:col>15</xdr:col>
      <xdr:colOff>317880</xdr:colOff>
      <xdr:row>15</xdr:row>
      <xdr:rowOff>218880</xdr:rowOff>
    </xdr:to>
    <xdr:sp macro="" textlink="">
      <xdr:nvSpPr>
        <xdr:cNvPr id="50" name="Line 1"/>
        <xdr:cNvSpPr/>
      </xdr:nvSpPr>
      <xdr:spPr>
        <a:xfrm flipV="1">
          <a:off x="7920360" y="2057400"/>
          <a:ext cx="11160" cy="1590480"/>
        </a:xfrm>
        <a:prstGeom prst="line">
          <a:avLst/>
        </a:prstGeom>
        <a:ln w="9360">
          <a:solidFill>
            <a:srgbClr val="000000"/>
          </a:solidFill>
          <a:miter/>
          <a:headEnd type="arrow" w="sm" len="sm"/>
          <a:tailEnd type="arrow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15</xdr:col>
      <xdr:colOff>0</xdr:colOff>
      <xdr:row>8</xdr:row>
      <xdr:rowOff>218520</xdr:rowOff>
    </xdr:from>
    <xdr:to>
      <xdr:col>15</xdr:col>
      <xdr:colOff>720</xdr:colOff>
      <xdr:row>14</xdr:row>
      <xdr:rowOff>228240</xdr:rowOff>
    </xdr:to>
    <xdr:sp macro="" textlink="">
      <xdr:nvSpPr>
        <xdr:cNvPr id="51" name="Line 1"/>
        <xdr:cNvSpPr/>
      </xdr:nvSpPr>
      <xdr:spPr>
        <a:xfrm flipV="1">
          <a:off x="7613640" y="2047320"/>
          <a:ext cx="720" cy="1381320"/>
        </a:xfrm>
        <a:prstGeom prst="line">
          <a:avLst/>
        </a:prstGeom>
        <a:ln w="9360">
          <a:solidFill>
            <a:srgbClr val="000000"/>
          </a:solidFill>
          <a:miter/>
          <a:headEnd type="arrow" w="sm" len="sm"/>
          <a:tailEnd type="arrow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8</xdr:col>
      <xdr:colOff>1080</xdr:colOff>
      <xdr:row>9</xdr:row>
      <xdr:rowOff>720</xdr:rowOff>
    </xdr:from>
    <xdr:to>
      <xdr:col>8</xdr:col>
      <xdr:colOff>403560</xdr:colOff>
      <xdr:row>9</xdr:row>
      <xdr:rowOff>720</xdr:rowOff>
    </xdr:to>
    <xdr:sp macro="" textlink="">
      <xdr:nvSpPr>
        <xdr:cNvPr id="52" name="Line 1"/>
        <xdr:cNvSpPr/>
      </xdr:nvSpPr>
      <xdr:spPr>
        <a:xfrm>
          <a:off x="4234320" y="2058120"/>
          <a:ext cx="402480" cy="0"/>
        </a:xfrm>
        <a:prstGeom prst="line">
          <a:avLst/>
        </a:prstGeom>
        <a:ln w="28440">
          <a:solidFill>
            <a:srgbClr val="00008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8</xdr:col>
      <xdr:colOff>1080</xdr:colOff>
      <xdr:row>8</xdr:row>
      <xdr:rowOff>218880</xdr:rowOff>
    </xdr:from>
    <xdr:to>
      <xdr:col>8</xdr:col>
      <xdr:colOff>1080</xdr:colOff>
      <xdr:row>17</xdr:row>
      <xdr:rowOff>223560</xdr:rowOff>
    </xdr:to>
    <xdr:sp macro="" textlink="">
      <xdr:nvSpPr>
        <xdr:cNvPr id="53" name="Line 1"/>
        <xdr:cNvSpPr/>
      </xdr:nvSpPr>
      <xdr:spPr>
        <a:xfrm>
          <a:off x="4234320" y="2047680"/>
          <a:ext cx="0" cy="2062080"/>
        </a:xfrm>
        <a:prstGeom prst="line">
          <a:avLst/>
        </a:prstGeom>
        <a:ln w="28440">
          <a:solidFill>
            <a:srgbClr val="00008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8</xdr:col>
      <xdr:colOff>1080</xdr:colOff>
      <xdr:row>17</xdr:row>
      <xdr:rowOff>223560</xdr:rowOff>
    </xdr:from>
    <xdr:to>
      <xdr:col>13</xdr:col>
      <xdr:colOff>398160</xdr:colOff>
      <xdr:row>17</xdr:row>
      <xdr:rowOff>223560</xdr:rowOff>
    </xdr:to>
    <xdr:sp macro="" textlink="">
      <xdr:nvSpPr>
        <xdr:cNvPr id="54" name="Line 1"/>
        <xdr:cNvSpPr/>
      </xdr:nvSpPr>
      <xdr:spPr>
        <a:xfrm>
          <a:off x="4234320" y="4109760"/>
          <a:ext cx="2924640" cy="0"/>
        </a:xfrm>
        <a:prstGeom prst="line">
          <a:avLst/>
        </a:prstGeom>
        <a:ln w="28440">
          <a:solidFill>
            <a:srgbClr val="00008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14</xdr:col>
      <xdr:colOff>6120</xdr:colOff>
      <xdr:row>8</xdr:row>
      <xdr:rowOff>218880</xdr:rowOff>
    </xdr:from>
    <xdr:to>
      <xdr:col>14</xdr:col>
      <xdr:colOff>6120</xdr:colOff>
      <xdr:row>17</xdr:row>
      <xdr:rowOff>223560</xdr:rowOff>
    </xdr:to>
    <xdr:sp macro="" textlink="">
      <xdr:nvSpPr>
        <xdr:cNvPr id="55" name="Line 1"/>
        <xdr:cNvSpPr/>
      </xdr:nvSpPr>
      <xdr:spPr>
        <a:xfrm>
          <a:off x="7171200" y="2047680"/>
          <a:ext cx="0" cy="2062080"/>
        </a:xfrm>
        <a:prstGeom prst="line">
          <a:avLst/>
        </a:prstGeom>
        <a:ln w="28440">
          <a:solidFill>
            <a:srgbClr val="00008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13</xdr:col>
      <xdr:colOff>7560</xdr:colOff>
      <xdr:row>9</xdr:row>
      <xdr:rowOff>720</xdr:rowOff>
    </xdr:from>
    <xdr:to>
      <xdr:col>14</xdr:col>
      <xdr:colOff>5760</xdr:colOff>
      <xdr:row>9</xdr:row>
      <xdr:rowOff>720</xdr:rowOff>
    </xdr:to>
    <xdr:sp macro="" textlink="">
      <xdr:nvSpPr>
        <xdr:cNvPr id="56" name="Line 1"/>
        <xdr:cNvSpPr/>
      </xdr:nvSpPr>
      <xdr:spPr>
        <a:xfrm>
          <a:off x="6768360" y="2058120"/>
          <a:ext cx="402480" cy="0"/>
        </a:xfrm>
        <a:prstGeom prst="line">
          <a:avLst/>
        </a:prstGeom>
        <a:ln w="28440">
          <a:solidFill>
            <a:srgbClr val="00008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76320</xdr:colOff>
      <xdr:row>8</xdr:row>
      <xdr:rowOff>95400</xdr:rowOff>
    </xdr:from>
    <xdr:to>
      <xdr:col>11</xdr:col>
      <xdr:colOff>307800</xdr:colOff>
      <xdr:row>8</xdr:row>
      <xdr:rowOff>219600</xdr:rowOff>
    </xdr:to>
    <xdr:sp macro="" textlink="">
      <xdr:nvSpPr>
        <xdr:cNvPr id="57" name="CustomShape 1"/>
        <xdr:cNvSpPr/>
      </xdr:nvSpPr>
      <xdr:spPr>
        <a:xfrm>
          <a:off x="5578560" y="1924200"/>
          <a:ext cx="231480" cy="124200"/>
        </a:xfrm>
        <a:prstGeom prst="flowChartMerge">
          <a:avLst/>
        </a:prstGeom>
        <a:solidFill>
          <a:srgbClr val="FFFFFF"/>
        </a:solidFill>
        <a:ln w="1260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153360</xdr:colOff>
      <xdr:row>9</xdr:row>
      <xdr:rowOff>0</xdr:rowOff>
    </xdr:from>
    <xdr:to>
      <xdr:col>11</xdr:col>
      <xdr:colOff>920880</xdr:colOff>
      <xdr:row>9</xdr:row>
      <xdr:rowOff>0</xdr:rowOff>
    </xdr:to>
    <xdr:sp macro="" textlink="">
      <xdr:nvSpPr>
        <xdr:cNvPr id="58" name="Line 1"/>
        <xdr:cNvSpPr/>
      </xdr:nvSpPr>
      <xdr:spPr>
        <a:xfrm>
          <a:off x="5020560" y="2057400"/>
          <a:ext cx="1402560" cy="0"/>
        </a:xfrm>
        <a:prstGeom prst="line">
          <a:avLst/>
        </a:prstGeom>
        <a:ln w="1260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9</xdr:col>
      <xdr:colOff>21960</xdr:colOff>
      <xdr:row>10</xdr:row>
      <xdr:rowOff>0</xdr:rowOff>
    </xdr:from>
    <xdr:to>
      <xdr:col>10</xdr:col>
      <xdr:colOff>16560</xdr:colOff>
      <xdr:row>10</xdr:row>
      <xdr:rowOff>0</xdr:rowOff>
    </xdr:to>
    <xdr:sp macro="" textlink="">
      <xdr:nvSpPr>
        <xdr:cNvPr id="59" name="Line 1"/>
        <xdr:cNvSpPr/>
      </xdr:nvSpPr>
      <xdr:spPr>
        <a:xfrm>
          <a:off x="4659840" y="2286000"/>
          <a:ext cx="223920" cy="0"/>
        </a:xfrm>
        <a:prstGeom prst="line">
          <a:avLst/>
        </a:prstGeom>
        <a:ln w="9360">
          <a:solidFill>
            <a:srgbClr val="00000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9</xdr:col>
      <xdr:colOff>21960</xdr:colOff>
      <xdr:row>10</xdr:row>
      <xdr:rowOff>147600</xdr:rowOff>
    </xdr:from>
    <xdr:to>
      <xdr:col>10</xdr:col>
      <xdr:colOff>16560</xdr:colOff>
      <xdr:row>10</xdr:row>
      <xdr:rowOff>147600</xdr:rowOff>
    </xdr:to>
    <xdr:sp macro="" textlink="">
      <xdr:nvSpPr>
        <xdr:cNvPr id="60" name="Line 1"/>
        <xdr:cNvSpPr/>
      </xdr:nvSpPr>
      <xdr:spPr>
        <a:xfrm>
          <a:off x="4659840" y="2433600"/>
          <a:ext cx="223920" cy="0"/>
        </a:xfrm>
        <a:prstGeom prst="line">
          <a:avLst/>
        </a:prstGeom>
        <a:ln w="9360">
          <a:solidFill>
            <a:srgbClr val="00000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9</xdr:col>
      <xdr:colOff>21960</xdr:colOff>
      <xdr:row>12</xdr:row>
      <xdr:rowOff>0</xdr:rowOff>
    </xdr:from>
    <xdr:to>
      <xdr:col>10</xdr:col>
      <xdr:colOff>16560</xdr:colOff>
      <xdr:row>12</xdr:row>
      <xdr:rowOff>0</xdr:rowOff>
    </xdr:to>
    <xdr:sp macro="" textlink="">
      <xdr:nvSpPr>
        <xdr:cNvPr id="61" name="Line 1"/>
        <xdr:cNvSpPr/>
      </xdr:nvSpPr>
      <xdr:spPr>
        <a:xfrm>
          <a:off x="4659840" y="2743200"/>
          <a:ext cx="223920" cy="0"/>
        </a:xfrm>
        <a:prstGeom prst="line">
          <a:avLst/>
        </a:prstGeom>
        <a:ln w="9360">
          <a:solidFill>
            <a:srgbClr val="00000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9</xdr:col>
      <xdr:colOff>21960</xdr:colOff>
      <xdr:row>12</xdr:row>
      <xdr:rowOff>147600</xdr:rowOff>
    </xdr:from>
    <xdr:to>
      <xdr:col>10</xdr:col>
      <xdr:colOff>16560</xdr:colOff>
      <xdr:row>12</xdr:row>
      <xdr:rowOff>147600</xdr:rowOff>
    </xdr:to>
    <xdr:sp macro="" textlink="">
      <xdr:nvSpPr>
        <xdr:cNvPr id="62" name="Line 1"/>
        <xdr:cNvSpPr/>
      </xdr:nvSpPr>
      <xdr:spPr>
        <a:xfrm>
          <a:off x="4659840" y="2890800"/>
          <a:ext cx="223920" cy="0"/>
        </a:xfrm>
        <a:prstGeom prst="line">
          <a:avLst/>
        </a:prstGeom>
        <a:ln w="9360">
          <a:solidFill>
            <a:srgbClr val="00000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12</xdr:col>
      <xdr:colOff>21960</xdr:colOff>
      <xdr:row>10</xdr:row>
      <xdr:rowOff>0</xdr:rowOff>
    </xdr:from>
    <xdr:to>
      <xdr:col>13</xdr:col>
      <xdr:colOff>16560</xdr:colOff>
      <xdr:row>10</xdr:row>
      <xdr:rowOff>0</xdr:rowOff>
    </xdr:to>
    <xdr:sp macro="" textlink="">
      <xdr:nvSpPr>
        <xdr:cNvPr id="63" name="Line 1"/>
        <xdr:cNvSpPr/>
      </xdr:nvSpPr>
      <xdr:spPr>
        <a:xfrm>
          <a:off x="6553440" y="2286000"/>
          <a:ext cx="223920" cy="0"/>
        </a:xfrm>
        <a:prstGeom prst="line">
          <a:avLst/>
        </a:prstGeom>
        <a:ln w="9360">
          <a:solidFill>
            <a:srgbClr val="00000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12</xdr:col>
      <xdr:colOff>21960</xdr:colOff>
      <xdr:row>10</xdr:row>
      <xdr:rowOff>147600</xdr:rowOff>
    </xdr:from>
    <xdr:to>
      <xdr:col>13</xdr:col>
      <xdr:colOff>16560</xdr:colOff>
      <xdr:row>10</xdr:row>
      <xdr:rowOff>147600</xdr:rowOff>
    </xdr:to>
    <xdr:sp macro="" textlink="">
      <xdr:nvSpPr>
        <xdr:cNvPr id="64" name="Line 1"/>
        <xdr:cNvSpPr/>
      </xdr:nvSpPr>
      <xdr:spPr>
        <a:xfrm>
          <a:off x="6553440" y="2433600"/>
          <a:ext cx="223920" cy="0"/>
        </a:xfrm>
        <a:prstGeom prst="line">
          <a:avLst/>
        </a:prstGeom>
        <a:ln w="9360">
          <a:solidFill>
            <a:srgbClr val="00000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12</xdr:col>
      <xdr:colOff>21960</xdr:colOff>
      <xdr:row>12</xdr:row>
      <xdr:rowOff>0</xdr:rowOff>
    </xdr:from>
    <xdr:to>
      <xdr:col>13</xdr:col>
      <xdr:colOff>16560</xdr:colOff>
      <xdr:row>12</xdr:row>
      <xdr:rowOff>0</xdr:rowOff>
    </xdr:to>
    <xdr:sp macro="" textlink="">
      <xdr:nvSpPr>
        <xdr:cNvPr id="65" name="Line 1"/>
        <xdr:cNvSpPr/>
      </xdr:nvSpPr>
      <xdr:spPr>
        <a:xfrm>
          <a:off x="6553440" y="2743200"/>
          <a:ext cx="223920" cy="0"/>
        </a:xfrm>
        <a:prstGeom prst="line">
          <a:avLst/>
        </a:prstGeom>
        <a:ln w="9360">
          <a:solidFill>
            <a:srgbClr val="00000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12</xdr:col>
      <xdr:colOff>21960</xdr:colOff>
      <xdr:row>12</xdr:row>
      <xdr:rowOff>147600</xdr:rowOff>
    </xdr:from>
    <xdr:to>
      <xdr:col>13</xdr:col>
      <xdr:colOff>16560</xdr:colOff>
      <xdr:row>12</xdr:row>
      <xdr:rowOff>147600</xdr:rowOff>
    </xdr:to>
    <xdr:sp macro="" textlink="">
      <xdr:nvSpPr>
        <xdr:cNvPr id="66" name="Line 1"/>
        <xdr:cNvSpPr/>
      </xdr:nvSpPr>
      <xdr:spPr>
        <a:xfrm>
          <a:off x="6553440" y="2890800"/>
          <a:ext cx="223920" cy="0"/>
        </a:xfrm>
        <a:prstGeom prst="line">
          <a:avLst/>
        </a:prstGeom>
        <a:ln w="9360">
          <a:solidFill>
            <a:srgbClr val="00000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10</xdr:col>
      <xdr:colOff>450720</xdr:colOff>
      <xdr:row>15</xdr:row>
      <xdr:rowOff>31320</xdr:rowOff>
    </xdr:from>
    <xdr:to>
      <xdr:col>10</xdr:col>
      <xdr:colOff>450720</xdr:colOff>
      <xdr:row>15</xdr:row>
      <xdr:rowOff>202320</xdr:rowOff>
    </xdr:to>
    <xdr:sp macro="" textlink="">
      <xdr:nvSpPr>
        <xdr:cNvPr id="67" name="Line 1"/>
        <xdr:cNvSpPr/>
      </xdr:nvSpPr>
      <xdr:spPr>
        <a:xfrm>
          <a:off x="5317920" y="3460320"/>
          <a:ext cx="0" cy="171000"/>
        </a:xfrm>
        <a:prstGeom prst="line">
          <a:avLst/>
        </a:prstGeom>
        <a:ln w="9360">
          <a:solidFill>
            <a:srgbClr val="00000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10</xdr:col>
      <xdr:colOff>257040</xdr:colOff>
      <xdr:row>15</xdr:row>
      <xdr:rowOff>31320</xdr:rowOff>
    </xdr:from>
    <xdr:to>
      <xdr:col>10</xdr:col>
      <xdr:colOff>257040</xdr:colOff>
      <xdr:row>15</xdr:row>
      <xdr:rowOff>202320</xdr:rowOff>
    </xdr:to>
    <xdr:sp macro="" textlink="">
      <xdr:nvSpPr>
        <xdr:cNvPr id="68" name="Line 1"/>
        <xdr:cNvSpPr/>
      </xdr:nvSpPr>
      <xdr:spPr>
        <a:xfrm>
          <a:off x="5124240" y="3460320"/>
          <a:ext cx="0" cy="171000"/>
        </a:xfrm>
        <a:prstGeom prst="line">
          <a:avLst/>
        </a:prstGeom>
        <a:ln w="9360">
          <a:solidFill>
            <a:srgbClr val="00000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11</xdr:col>
      <xdr:colOff>779040</xdr:colOff>
      <xdr:row>15</xdr:row>
      <xdr:rowOff>30960</xdr:rowOff>
    </xdr:from>
    <xdr:to>
      <xdr:col>11</xdr:col>
      <xdr:colOff>779040</xdr:colOff>
      <xdr:row>15</xdr:row>
      <xdr:rowOff>202680</xdr:rowOff>
    </xdr:to>
    <xdr:sp macro="" textlink="">
      <xdr:nvSpPr>
        <xdr:cNvPr id="69" name="Line 1"/>
        <xdr:cNvSpPr/>
      </xdr:nvSpPr>
      <xdr:spPr>
        <a:xfrm>
          <a:off x="6281280" y="3459960"/>
          <a:ext cx="0" cy="171720"/>
        </a:xfrm>
        <a:prstGeom prst="line">
          <a:avLst/>
        </a:prstGeom>
        <a:ln w="9360">
          <a:solidFill>
            <a:srgbClr val="00000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11</xdr:col>
      <xdr:colOff>585360</xdr:colOff>
      <xdr:row>15</xdr:row>
      <xdr:rowOff>30960</xdr:rowOff>
    </xdr:from>
    <xdr:to>
      <xdr:col>11</xdr:col>
      <xdr:colOff>585360</xdr:colOff>
      <xdr:row>15</xdr:row>
      <xdr:rowOff>202680</xdr:rowOff>
    </xdr:to>
    <xdr:sp macro="" textlink="">
      <xdr:nvSpPr>
        <xdr:cNvPr id="70" name="Line 1"/>
        <xdr:cNvSpPr/>
      </xdr:nvSpPr>
      <xdr:spPr>
        <a:xfrm>
          <a:off x="6087600" y="3459960"/>
          <a:ext cx="0" cy="171720"/>
        </a:xfrm>
        <a:prstGeom prst="line">
          <a:avLst/>
        </a:prstGeom>
        <a:ln w="9360">
          <a:solidFill>
            <a:srgbClr val="00000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720</xdr:colOff>
      <xdr:row>3</xdr:row>
      <xdr:rowOff>200160</xdr:rowOff>
    </xdr:from>
    <xdr:to>
      <xdr:col>8</xdr:col>
      <xdr:colOff>720</xdr:colOff>
      <xdr:row>6</xdr:row>
      <xdr:rowOff>190080</xdr:rowOff>
    </xdr:to>
    <xdr:sp macro="" textlink="">
      <xdr:nvSpPr>
        <xdr:cNvPr id="71" name="Line 1"/>
        <xdr:cNvSpPr/>
      </xdr:nvSpPr>
      <xdr:spPr>
        <a:xfrm>
          <a:off x="4233960" y="885960"/>
          <a:ext cx="0" cy="67572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720</xdr:colOff>
      <xdr:row>3</xdr:row>
      <xdr:rowOff>190080</xdr:rowOff>
    </xdr:from>
    <xdr:to>
      <xdr:col>14</xdr:col>
      <xdr:colOff>1080</xdr:colOff>
      <xdr:row>6</xdr:row>
      <xdr:rowOff>181440</xdr:rowOff>
    </xdr:to>
    <xdr:sp macro="" textlink="">
      <xdr:nvSpPr>
        <xdr:cNvPr id="72" name="Line 1"/>
        <xdr:cNvSpPr/>
      </xdr:nvSpPr>
      <xdr:spPr>
        <a:xfrm>
          <a:off x="7165800" y="875880"/>
          <a:ext cx="360" cy="67716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0</xdr:colOff>
      <xdr:row>4</xdr:row>
      <xdr:rowOff>161640</xdr:rowOff>
    </xdr:from>
    <xdr:to>
      <xdr:col>13</xdr:col>
      <xdr:colOff>360</xdr:colOff>
      <xdr:row>6</xdr:row>
      <xdr:rowOff>181440</xdr:rowOff>
    </xdr:to>
    <xdr:sp macro="" textlink="">
      <xdr:nvSpPr>
        <xdr:cNvPr id="73" name="Line 1"/>
        <xdr:cNvSpPr/>
      </xdr:nvSpPr>
      <xdr:spPr>
        <a:xfrm>
          <a:off x="6760800" y="1076040"/>
          <a:ext cx="360" cy="47700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11160</xdr:colOff>
      <xdr:row>4</xdr:row>
      <xdr:rowOff>181440</xdr:rowOff>
    </xdr:from>
    <xdr:to>
      <xdr:col>9</xdr:col>
      <xdr:colOff>11520</xdr:colOff>
      <xdr:row>6</xdr:row>
      <xdr:rowOff>190080</xdr:rowOff>
    </xdr:to>
    <xdr:sp macro="" textlink="">
      <xdr:nvSpPr>
        <xdr:cNvPr id="74" name="Line 1"/>
        <xdr:cNvSpPr/>
      </xdr:nvSpPr>
      <xdr:spPr>
        <a:xfrm>
          <a:off x="4649040" y="1095840"/>
          <a:ext cx="360" cy="46584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0</xdr:colOff>
      <xdr:row>5</xdr:row>
      <xdr:rowOff>171360</xdr:rowOff>
    </xdr:from>
    <xdr:to>
      <xdr:col>10</xdr:col>
      <xdr:colOff>720</xdr:colOff>
      <xdr:row>6</xdr:row>
      <xdr:rowOff>190080</xdr:rowOff>
    </xdr:to>
    <xdr:sp macro="" textlink="">
      <xdr:nvSpPr>
        <xdr:cNvPr id="75" name="Line 1"/>
        <xdr:cNvSpPr/>
      </xdr:nvSpPr>
      <xdr:spPr>
        <a:xfrm>
          <a:off x="4867200" y="1314360"/>
          <a:ext cx="720" cy="24732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0</xdr:colOff>
      <xdr:row>5</xdr:row>
      <xdr:rowOff>171360</xdr:rowOff>
    </xdr:from>
    <xdr:to>
      <xdr:col>12</xdr:col>
      <xdr:colOff>360</xdr:colOff>
      <xdr:row>6</xdr:row>
      <xdr:rowOff>209880</xdr:rowOff>
    </xdr:to>
    <xdr:sp macro="" textlink="">
      <xdr:nvSpPr>
        <xdr:cNvPr id="76" name="Line 1"/>
        <xdr:cNvSpPr/>
      </xdr:nvSpPr>
      <xdr:spPr>
        <a:xfrm>
          <a:off x="6531480" y="1314360"/>
          <a:ext cx="360" cy="26712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720</xdr:colOff>
      <xdr:row>4</xdr:row>
      <xdr:rowOff>0</xdr:rowOff>
    </xdr:from>
    <xdr:to>
      <xdr:col>14</xdr:col>
      <xdr:colOff>4230</xdr:colOff>
      <xdr:row>4</xdr:row>
      <xdr:rowOff>0</xdr:rowOff>
    </xdr:to>
    <xdr:sp macro="" textlink="">
      <xdr:nvSpPr>
        <xdr:cNvPr id="77" name="Line 1"/>
        <xdr:cNvSpPr/>
      </xdr:nvSpPr>
      <xdr:spPr>
        <a:xfrm>
          <a:off x="4233960" y="914400"/>
          <a:ext cx="2931120" cy="0"/>
        </a:xfrm>
        <a:prstGeom prst="line">
          <a:avLst/>
        </a:prstGeom>
        <a:ln w="9360">
          <a:solidFill>
            <a:srgbClr val="000000"/>
          </a:solidFill>
          <a:miter/>
          <a:headEnd type="arrow" w="sm" len="sm"/>
          <a:tailEnd type="arrow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11160</xdr:colOff>
      <xdr:row>5</xdr:row>
      <xdr:rowOff>0</xdr:rowOff>
    </xdr:from>
    <xdr:to>
      <xdr:col>12</xdr:col>
      <xdr:colOff>199470</xdr:colOff>
      <xdr:row>5</xdr:row>
      <xdr:rowOff>0</xdr:rowOff>
    </xdr:to>
    <xdr:sp macro="" textlink="">
      <xdr:nvSpPr>
        <xdr:cNvPr id="78" name="Line 1"/>
        <xdr:cNvSpPr/>
      </xdr:nvSpPr>
      <xdr:spPr>
        <a:xfrm>
          <a:off x="4649040" y="1143000"/>
          <a:ext cx="2100960" cy="0"/>
        </a:xfrm>
        <a:prstGeom prst="line">
          <a:avLst/>
        </a:prstGeom>
        <a:ln w="9360">
          <a:solidFill>
            <a:srgbClr val="000000"/>
          </a:solidFill>
          <a:miter/>
          <a:headEnd type="arrow" w="sm" len="sm"/>
          <a:tailEnd type="arrow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11160</xdr:colOff>
      <xdr:row>6</xdr:row>
      <xdr:rowOff>0</xdr:rowOff>
    </xdr:from>
    <xdr:to>
      <xdr:col>11</xdr:col>
      <xdr:colOff>895335</xdr:colOff>
      <xdr:row>6</xdr:row>
      <xdr:rowOff>0</xdr:rowOff>
    </xdr:to>
    <xdr:sp macro="" textlink="">
      <xdr:nvSpPr>
        <xdr:cNvPr id="79" name="Line 1"/>
        <xdr:cNvSpPr/>
      </xdr:nvSpPr>
      <xdr:spPr>
        <a:xfrm>
          <a:off x="4878360" y="1371600"/>
          <a:ext cx="1643040" cy="0"/>
        </a:xfrm>
        <a:prstGeom prst="line">
          <a:avLst/>
        </a:prstGeom>
        <a:ln w="9360">
          <a:solidFill>
            <a:srgbClr val="000000"/>
          </a:solidFill>
          <a:miter/>
          <a:headEnd type="arrow" w="sm" len="sm"/>
          <a:tailEnd type="arrow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317880</xdr:colOff>
      <xdr:row>11</xdr:row>
      <xdr:rowOff>218880</xdr:rowOff>
    </xdr:from>
    <xdr:to>
      <xdr:col>8</xdr:col>
      <xdr:colOff>2955</xdr:colOff>
      <xdr:row>11</xdr:row>
      <xdr:rowOff>218880</xdr:rowOff>
    </xdr:to>
    <xdr:sp macro="" textlink="">
      <xdr:nvSpPr>
        <xdr:cNvPr id="80" name="Line 1"/>
        <xdr:cNvSpPr/>
      </xdr:nvSpPr>
      <xdr:spPr>
        <a:xfrm>
          <a:off x="3238560" y="2733480"/>
          <a:ext cx="994680" cy="0"/>
        </a:xfrm>
        <a:prstGeom prst="line">
          <a:avLst/>
        </a:prstGeom>
        <a:ln w="9360">
          <a:solidFill>
            <a:srgbClr val="000000"/>
          </a:solidFill>
          <a:miter/>
          <a:tailEnd type="triangle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9</xdr:col>
      <xdr:colOff>4590</xdr:colOff>
      <xdr:row>14</xdr:row>
      <xdr:rowOff>0</xdr:rowOff>
    </xdr:to>
    <xdr:sp macro="" textlink="">
      <xdr:nvSpPr>
        <xdr:cNvPr id="81" name="Line 1"/>
        <xdr:cNvSpPr/>
      </xdr:nvSpPr>
      <xdr:spPr>
        <a:xfrm>
          <a:off x="3325320" y="3200400"/>
          <a:ext cx="1312560" cy="0"/>
        </a:xfrm>
        <a:prstGeom prst="line">
          <a:avLst/>
        </a:prstGeom>
        <a:ln w="9360">
          <a:solidFill>
            <a:srgbClr val="000000"/>
          </a:solidFill>
          <a:miter/>
          <a:tailEnd type="triangle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11160</xdr:colOff>
      <xdr:row>17</xdr:row>
      <xdr:rowOff>9720</xdr:rowOff>
    </xdr:from>
    <xdr:to>
      <xdr:col>10</xdr:col>
      <xdr:colOff>143280</xdr:colOff>
      <xdr:row>17</xdr:row>
      <xdr:rowOff>9720</xdr:rowOff>
    </xdr:to>
    <xdr:sp macro="" textlink="">
      <xdr:nvSpPr>
        <xdr:cNvPr id="82" name="Line 1"/>
        <xdr:cNvSpPr/>
      </xdr:nvSpPr>
      <xdr:spPr>
        <a:xfrm>
          <a:off x="3336480" y="3895920"/>
          <a:ext cx="1674000" cy="0"/>
        </a:xfrm>
        <a:prstGeom prst="line">
          <a:avLst/>
        </a:prstGeom>
        <a:ln w="9360">
          <a:solidFill>
            <a:srgbClr val="000000"/>
          </a:solidFill>
          <a:miter/>
          <a:tailEnd type="triangle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394200</xdr:colOff>
      <xdr:row>8</xdr:row>
      <xdr:rowOff>0</xdr:rowOff>
    </xdr:from>
    <xdr:to>
      <xdr:col>8</xdr:col>
      <xdr:colOff>164880</xdr:colOff>
      <xdr:row>8</xdr:row>
      <xdr:rowOff>0</xdr:rowOff>
    </xdr:to>
    <xdr:sp macro="" textlink="">
      <xdr:nvSpPr>
        <xdr:cNvPr id="83" name="Line 1"/>
        <xdr:cNvSpPr/>
      </xdr:nvSpPr>
      <xdr:spPr>
        <a:xfrm>
          <a:off x="3314880" y="1828800"/>
          <a:ext cx="1083240" cy="0"/>
        </a:xfrm>
        <a:prstGeom prst="line">
          <a:avLst/>
        </a:prstGeom>
        <a:ln w="9360">
          <a:solidFill>
            <a:srgbClr val="000000"/>
          </a:solidFill>
          <a:miter/>
          <a:tailEnd type="triangle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77400</xdr:colOff>
      <xdr:row>19</xdr:row>
      <xdr:rowOff>9720</xdr:rowOff>
    </xdr:from>
    <xdr:to>
      <xdr:col>16</xdr:col>
      <xdr:colOff>2565</xdr:colOff>
      <xdr:row>19</xdr:row>
      <xdr:rowOff>9720</xdr:rowOff>
    </xdr:to>
    <xdr:sp macro="" textlink="">
      <xdr:nvSpPr>
        <xdr:cNvPr id="84" name="Line 1"/>
        <xdr:cNvSpPr/>
      </xdr:nvSpPr>
      <xdr:spPr>
        <a:xfrm>
          <a:off x="7242480" y="4353120"/>
          <a:ext cx="92988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99000</xdr:colOff>
      <xdr:row>9</xdr:row>
      <xdr:rowOff>0</xdr:rowOff>
    </xdr:from>
    <xdr:to>
      <xdr:col>15</xdr:col>
      <xdr:colOff>586500</xdr:colOff>
      <xdr:row>9</xdr:row>
      <xdr:rowOff>0</xdr:rowOff>
    </xdr:to>
    <xdr:sp macro="" textlink="">
      <xdr:nvSpPr>
        <xdr:cNvPr id="85" name="Line 1"/>
        <xdr:cNvSpPr/>
      </xdr:nvSpPr>
      <xdr:spPr>
        <a:xfrm>
          <a:off x="7264080" y="2057400"/>
          <a:ext cx="93024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55080</xdr:colOff>
      <xdr:row>16</xdr:row>
      <xdr:rowOff>0</xdr:rowOff>
    </xdr:from>
    <xdr:to>
      <xdr:col>15</xdr:col>
      <xdr:colOff>44640</xdr:colOff>
      <xdr:row>16</xdr:row>
      <xdr:rowOff>0</xdr:rowOff>
    </xdr:to>
    <xdr:sp macro="" textlink="">
      <xdr:nvSpPr>
        <xdr:cNvPr id="86" name="Line 1"/>
        <xdr:cNvSpPr/>
      </xdr:nvSpPr>
      <xdr:spPr>
        <a:xfrm>
          <a:off x="7220160" y="3657600"/>
          <a:ext cx="39420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15</xdr:col>
      <xdr:colOff>591480</xdr:colOff>
      <xdr:row>9</xdr:row>
      <xdr:rowOff>0</xdr:rowOff>
    </xdr:from>
    <xdr:to>
      <xdr:col>16</xdr:col>
      <xdr:colOff>1650</xdr:colOff>
      <xdr:row>17</xdr:row>
      <xdr:rowOff>190080</xdr:rowOff>
    </xdr:to>
    <xdr:sp macro="" textlink="">
      <xdr:nvSpPr>
        <xdr:cNvPr id="87" name="Line 1"/>
        <xdr:cNvSpPr/>
      </xdr:nvSpPr>
      <xdr:spPr>
        <a:xfrm flipV="1">
          <a:off x="8161200" y="2057400"/>
          <a:ext cx="720" cy="2018880"/>
        </a:xfrm>
        <a:prstGeom prst="line">
          <a:avLst/>
        </a:prstGeom>
        <a:ln w="9360">
          <a:solidFill>
            <a:srgbClr val="000000"/>
          </a:solidFill>
          <a:miter/>
          <a:headEnd type="arrow" w="sm" len="sm"/>
          <a:tailEnd type="arrow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15</xdr:col>
      <xdr:colOff>0</xdr:colOff>
      <xdr:row>8</xdr:row>
      <xdr:rowOff>218520</xdr:rowOff>
    </xdr:from>
    <xdr:to>
      <xdr:col>15</xdr:col>
      <xdr:colOff>720</xdr:colOff>
      <xdr:row>15</xdr:row>
      <xdr:rowOff>218520</xdr:rowOff>
    </xdr:to>
    <xdr:sp macro="" textlink="">
      <xdr:nvSpPr>
        <xdr:cNvPr id="88" name="Line 1"/>
        <xdr:cNvSpPr/>
      </xdr:nvSpPr>
      <xdr:spPr>
        <a:xfrm flipV="1">
          <a:off x="7569720" y="2047320"/>
          <a:ext cx="720" cy="1600200"/>
        </a:xfrm>
        <a:prstGeom prst="line">
          <a:avLst/>
        </a:prstGeom>
        <a:ln w="9360">
          <a:solidFill>
            <a:srgbClr val="000000"/>
          </a:solidFill>
          <a:miter/>
          <a:headEnd type="arrow" w="sm" len="sm"/>
          <a:tailEnd type="arrow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8</xdr:col>
      <xdr:colOff>1080</xdr:colOff>
      <xdr:row>9</xdr:row>
      <xdr:rowOff>720</xdr:rowOff>
    </xdr:from>
    <xdr:to>
      <xdr:col>9</xdr:col>
      <xdr:colOff>3510</xdr:colOff>
      <xdr:row>9</xdr:row>
      <xdr:rowOff>720</xdr:rowOff>
    </xdr:to>
    <xdr:sp macro="" textlink="">
      <xdr:nvSpPr>
        <xdr:cNvPr id="89" name="Line 1"/>
        <xdr:cNvSpPr/>
      </xdr:nvSpPr>
      <xdr:spPr>
        <a:xfrm>
          <a:off x="4234320" y="2058120"/>
          <a:ext cx="402480" cy="0"/>
        </a:xfrm>
        <a:prstGeom prst="line">
          <a:avLst/>
        </a:prstGeom>
        <a:ln w="28440">
          <a:solidFill>
            <a:srgbClr val="00008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8</xdr:col>
      <xdr:colOff>1080</xdr:colOff>
      <xdr:row>8</xdr:row>
      <xdr:rowOff>218880</xdr:rowOff>
    </xdr:from>
    <xdr:to>
      <xdr:col>8</xdr:col>
      <xdr:colOff>1080</xdr:colOff>
      <xdr:row>17</xdr:row>
      <xdr:rowOff>223560</xdr:rowOff>
    </xdr:to>
    <xdr:sp macro="" textlink="">
      <xdr:nvSpPr>
        <xdr:cNvPr id="90" name="Line 1"/>
        <xdr:cNvSpPr/>
      </xdr:nvSpPr>
      <xdr:spPr>
        <a:xfrm>
          <a:off x="4234320" y="2047680"/>
          <a:ext cx="0" cy="2062080"/>
        </a:xfrm>
        <a:prstGeom prst="line">
          <a:avLst/>
        </a:prstGeom>
        <a:ln w="28440">
          <a:solidFill>
            <a:srgbClr val="00008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13</xdr:col>
      <xdr:colOff>7920</xdr:colOff>
      <xdr:row>9</xdr:row>
      <xdr:rowOff>720</xdr:rowOff>
    </xdr:from>
    <xdr:to>
      <xdr:col>14</xdr:col>
      <xdr:colOff>6120</xdr:colOff>
      <xdr:row>9</xdr:row>
      <xdr:rowOff>720</xdr:rowOff>
    </xdr:to>
    <xdr:sp macro="" textlink="">
      <xdr:nvSpPr>
        <xdr:cNvPr id="91" name="Line 1"/>
        <xdr:cNvSpPr/>
      </xdr:nvSpPr>
      <xdr:spPr>
        <a:xfrm>
          <a:off x="6768720" y="2058120"/>
          <a:ext cx="402480" cy="0"/>
        </a:xfrm>
        <a:prstGeom prst="line">
          <a:avLst/>
        </a:prstGeom>
        <a:ln w="28440">
          <a:solidFill>
            <a:srgbClr val="00008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14</xdr:col>
      <xdr:colOff>6480</xdr:colOff>
      <xdr:row>8</xdr:row>
      <xdr:rowOff>218880</xdr:rowOff>
    </xdr:from>
    <xdr:to>
      <xdr:col>14</xdr:col>
      <xdr:colOff>6480</xdr:colOff>
      <xdr:row>17</xdr:row>
      <xdr:rowOff>223560</xdr:rowOff>
    </xdr:to>
    <xdr:sp macro="" textlink="">
      <xdr:nvSpPr>
        <xdr:cNvPr id="92" name="Line 1"/>
        <xdr:cNvSpPr/>
      </xdr:nvSpPr>
      <xdr:spPr>
        <a:xfrm>
          <a:off x="7171560" y="2047680"/>
          <a:ext cx="0" cy="2062080"/>
        </a:xfrm>
        <a:prstGeom prst="line">
          <a:avLst/>
        </a:prstGeom>
        <a:ln w="28440">
          <a:solidFill>
            <a:srgbClr val="00008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8</xdr:col>
      <xdr:colOff>7200</xdr:colOff>
      <xdr:row>17</xdr:row>
      <xdr:rowOff>223560</xdr:rowOff>
    </xdr:from>
    <xdr:to>
      <xdr:col>13</xdr:col>
      <xdr:colOff>350895</xdr:colOff>
      <xdr:row>17</xdr:row>
      <xdr:rowOff>223560</xdr:rowOff>
    </xdr:to>
    <xdr:sp macro="" textlink="">
      <xdr:nvSpPr>
        <xdr:cNvPr id="93" name="Line 1"/>
        <xdr:cNvSpPr/>
      </xdr:nvSpPr>
      <xdr:spPr>
        <a:xfrm>
          <a:off x="4240440" y="4109760"/>
          <a:ext cx="2918880" cy="0"/>
        </a:xfrm>
        <a:prstGeom prst="line">
          <a:avLst/>
        </a:prstGeom>
        <a:ln w="28440">
          <a:solidFill>
            <a:srgbClr val="00008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15</xdr:col>
      <xdr:colOff>0</xdr:colOff>
      <xdr:row>18</xdr:row>
      <xdr:rowOff>9720</xdr:rowOff>
    </xdr:from>
    <xdr:to>
      <xdr:col>15</xdr:col>
      <xdr:colOff>720</xdr:colOff>
      <xdr:row>19</xdr:row>
      <xdr:rowOff>0</xdr:rowOff>
    </xdr:to>
    <xdr:sp macro="" textlink="">
      <xdr:nvSpPr>
        <xdr:cNvPr id="94" name="Line 1"/>
        <xdr:cNvSpPr/>
      </xdr:nvSpPr>
      <xdr:spPr>
        <a:xfrm>
          <a:off x="7569720" y="4124520"/>
          <a:ext cx="720" cy="218880"/>
        </a:xfrm>
        <a:prstGeom prst="line">
          <a:avLst/>
        </a:prstGeom>
        <a:ln w="9360">
          <a:solidFill>
            <a:srgbClr val="000000"/>
          </a:solidFill>
          <a:miter/>
          <a:headEnd type="arrow" w="sm" len="sm"/>
          <a:tailEnd type="arrow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77400</xdr:colOff>
      <xdr:row>18</xdr:row>
      <xdr:rowOff>0</xdr:rowOff>
    </xdr:from>
    <xdr:to>
      <xdr:col>16</xdr:col>
      <xdr:colOff>2565</xdr:colOff>
      <xdr:row>18</xdr:row>
      <xdr:rowOff>0</xdr:rowOff>
    </xdr:to>
    <xdr:sp macro="" textlink="">
      <xdr:nvSpPr>
        <xdr:cNvPr id="95" name="Line 1"/>
        <xdr:cNvSpPr/>
      </xdr:nvSpPr>
      <xdr:spPr>
        <a:xfrm>
          <a:off x="7242480" y="4114800"/>
          <a:ext cx="92988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65520</xdr:colOff>
      <xdr:row>8</xdr:row>
      <xdr:rowOff>95400</xdr:rowOff>
    </xdr:from>
    <xdr:to>
      <xdr:col>11</xdr:col>
      <xdr:colOff>296640</xdr:colOff>
      <xdr:row>8</xdr:row>
      <xdr:rowOff>219600</xdr:rowOff>
    </xdr:to>
    <xdr:sp macro="" textlink="">
      <xdr:nvSpPr>
        <xdr:cNvPr id="96" name="CustomShape 1"/>
        <xdr:cNvSpPr/>
      </xdr:nvSpPr>
      <xdr:spPr>
        <a:xfrm>
          <a:off x="5567760" y="1924200"/>
          <a:ext cx="231120" cy="124200"/>
        </a:xfrm>
        <a:prstGeom prst="flowChartMerge">
          <a:avLst/>
        </a:prstGeom>
        <a:solidFill>
          <a:srgbClr val="FFFFFF"/>
        </a:solidFill>
        <a:ln w="1260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142560</xdr:colOff>
      <xdr:row>9</xdr:row>
      <xdr:rowOff>0</xdr:rowOff>
    </xdr:from>
    <xdr:to>
      <xdr:col>11</xdr:col>
      <xdr:colOff>890670</xdr:colOff>
      <xdr:row>9</xdr:row>
      <xdr:rowOff>0</xdr:rowOff>
    </xdr:to>
    <xdr:sp macro="" textlink="">
      <xdr:nvSpPr>
        <xdr:cNvPr id="97" name="Line 1"/>
        <xdr:cNvSpPr/>
      </xdr:nvSpPr>
      <xdr:spPr>
        <a:xfrm>
          <a:off x="5009760" y="2057400"/>
          <a:ext cx="1402200" cy="0"/>
        </a:xfrm>
        <a:prstGeom prst="line">
          <a:avLst/>
        </a:prstGeom>
        <a:ln w="1260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9</xdr:col>
      <xdr:colOff>21960</xdr:colOff>
      <xdr:row>10</xdr:row>
      <xdr:rowOff>0</xdr:rowOff>
    </xdr:from>
    <xdr:to>
      <xdr:col>10</xdr:col>
      <xdr:colOff>16560</xdr:colOff>
      <xdr:row>10</xdr:row>
      <xdr:rowOff>0</xdr:rowOff>
    </xdr:to>
    <xdr:sp macro="" textlink="">
      <xdr:nvSpPr>
        <xdr:cNvPr id="98" name="Line 1"/>
        <xdr:cNvSpPr/>
      </xdr:nvSpPr>
      <xdr:spPr>
        <a:xfrm>
          <a:off x="4659840" y="2286000"/>
          <a:ext cx="223920" cy="0"/>
        </a:xfrm>
        <a:prstGeom prst="line">
          <a:avLst/>
        </a:prstGeom>
        <a:ln w="9360">
          <a:solidFill>
            <a:srgbClr val="00000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9</xdr:col>
      <xdr:colOff>21960</xdr:colOff>
      <xdr:row>10</xdr:row>
      <xdr:rowOff>147600</xdr:rowOff>
    </xdr:from>
    <xdr:to>
      <xdr:col>10</xdr:col>
      <xdr:colOff>16560</xdr:colOff>
      <xdr:row>10</xdr:row>
      <xdr:rowOff>147600</xdr:rowOff>
    </xdr:to>
    <xdr:sp macro="" textlink="">
      <xdr:nvSpPr>
        <xdr:cNvPr id="99" name="Line 1"/>
        <xdr:cNvSpPr/>
      </xdr:nvSpPr>
      <xdr:spPr>
        <a:xfrm>
          <a:off x="4659840" y="2433600"/>
          <a:ext cx="223920" cy="0"/>
        </a:xfrm>
        <a:prstGeom prst="line">
          <a:avLst/>
        </a:prstGeom>
        <a:ln w="9360">
          <a:solidFill>
            <a:srgbClr val="00000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9</xdr:col>
      <xdr:colOff>21960</xdr:colOff>
      <xdr:row>12</xdr:row>
      <xdr:rowOff>0</xdr:rowOff>
    </xdr:from>
    <xdr:to>
      <xdr:col>10</xdr:col>
      <xdr:colOff>16560</xdr:colOff>
      <xdr:row>12</xdr:row>
      <xdr:rowOff>0</xdr:rowOff>
    </xdr:to>
    <xdr:sp macro="" textlink="">
      <xdr:nvSpPr>
        <xdr:cNvPr id="100" name="Line 1"/>
        <xdr:cNvSpPr/>
      </xdr:nvSpPr>
      <xdr:spPr>
        <a:xfrm>
          <a:off x="4659840" y="2743200"/>
          <a:ext cx="223920" cy="0"/>
        </a:xfrm>
        <a:prstGeom prst="line">
          <a:avLst/>
        </a:prstGeom>
        <a:ln w="9360">
          <a:solidFill>
            <a:srgbClr val="00000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9</xdr:col>
      <xdr:colOff>21960</xdr:colOff>
      <xdr:row>12</xdr:row>
      <xdr:rowOff>147600</xdr:rowOff>
    </xdr:from>
    <xdr:to>
      <xdr:col>10</xdr:col>
      <xdr:colOff>16560</xdr:colOff>
      <xdr:row>12</xdr:row>
      <xdr:rowOff>147600</xdr:rowOff>
    </xdr:to>
    <xdr:sp macro="" textlink="">
      <xdr:nvSpPr>
        <xdr:cNvPr id="101" name="Line 1"/>
        <xdr:cNvSpPr/>
      </xdr:nvSpPr>
      <xdr:spPr>
        <a:xfrm>
          <a:off x="4659840" y="2890800"/>
          <a:ext cx="223920" cy="0"/>
        </a:xfrm>
        <a:prstGeom prst="line">
          <a:avLst/>
        </a:prstGeom>
        <a:ln w="9360">
          <a:solidFill>
            <a:srgbClr val="00000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9</xdr:col>
      <xdr:colOff>21960</xdr:colOff>
      <xdr:row>14</xdr:row>
      <xdr:rowOff>0</xdr:rowOff>
    </xdr:from>
    <xdr:to>
      <xdr:col>10</xdr:col>
      <xdr:colOff>16560</xdr:colOff>
      <xdr:row>14</xdr:row>
      <xdr:rowOff>0</xdr:rowOff>
    </xdr:to>
    <xdr:sp macro="" textlink="">
      <xdr:nvSpPr>
        <xdr:cNvPr id="102" name="Line 1"/>
        <xdr:cNvSpPr/>
      </xdr:nvSpPr>
      <xdr:spPr>
        <a:xfrm>
          <a:off x="4659840" y="3200400"/>
          <a:ext cx="223920" cy="0"/>
        </a:xfrm>
        <a:prstGeom prst="line">
          <a:avLst/>
        </a:prstGeom>
        <a:ln w="9360">
          <a:solidFill>
            <a:srgbClr val="00000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9</xdr:col>
      <xdr:colOff>21960</xdr:colOff>
      <xdr:row>14</xdr:row>
      <xdr:rowOff>147600</xdr:rowOff>
    </xdr:from>
    <xdr:to>
      <xdr:col>10</xdr:col>
      <xdr:colOff>16560</xdr:colOff>
      <xdr:row>14</xdr:row>
      <xdr:rowOff>147600</xdr:rowOff>
    </xdr:to>
    <xdr:sp macro="" textlink="">
      <xdr:nvSpPr>
        <xdr:cNvPr id="103" name="Line 1"/>
        <xdr:cNvSpPr/>
      </xdr:nvSpPr>
      <xdr:spPr>
        <a:xfrm>
          <a:off x="4659840" y="3348000"/>
          <a:ext cx="223920" cy="0"/>
        </a:xfrm>
        <a:prstGeom prst="line">
          <a:avLst/>
        </a:prstGeom>
        <a:ln w="9360">
          <a:solidFill>
            <a:srgbClr val="00000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12</xdr:col>
      <xdr:colOff>21960</xdr:colOff>
      <xdr:row>10</xdr:row>
      <xdr:rowOff>0</xdr:rowOff>
    </xdr:from>
    <xdr:to>
      <xdr:col>13</xdr:col>
      <xdr:colOff>16560</xdr:colOff>
      <xdr:row>10</xdr:row>
      <xdr:rowOff>0</xdr:rowOff>
    </xdr:to>
    <xdr:sp macro="" textlink="">
      <xdr:nvSpPr>
        <xdr:cNvPr id="104" name="Line 1"/>
        <xdr:cNvSpPr/>
      </xdr:nvSpPr>
      <xdr:spPr>
        <a:xfrm>
          <a:off x="6553440" y="2286000"/>
          <a:ext cx="223920" cy="0"/>
        </a:xfrm>
        <a:prstGeom prst="line">
          <a:avLst/>
        </a:prstGeom>
        <a:ln w="9360">
          <a:solidFill>
            <a:srgbClr val="00000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12</xdr:col>
      <xdr:colOff>21960</xdr:colOff>
      <xdr:row>10</xdr:row>
      <xdr:rowOff>147600</xdr:rowOff>
    </xdr:from>
    <xdr:to>
      <xdr:col>13</xdr:col>
      <xdr:colOff>16560</xdr:colOff>
      <xdr:row>10</xdr:row>
      <xdr:rowOff>147600</xdr:rowOff>
    </xdr:to>
    <xdr:sp macro="" textlink="">
      <xdr:nvSpPr>
        <xdr:cNvPr id="105" name="Line 1"/>
        <xdr:cNvSpPr/>
      </xdr:nvSpPr>
      <xdr:spPr>
        <a:xfrm>
          <a:off x="6553440" y="2433600"/>
          <a:ext cx="223920" cy="0"/>
        </a:xfrm>
        <a:prstGeom prst="line">
          <a:avLst/>
        </a:prstGeom>
        <a:ln w="9360">
          <a:solidFill>
            <a:srgbClr val="00000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12</xdr:col>
      <xdr:colOff>21960</xdr:colOff>
      <xdr:row>12</xdr:row>
      <xdr:rowOff>0</xdr:rowOff>
    </xdr:from>
    <xdr:to>
      <xdr:col>13</xdr:col>
      <xdr:colOff>16560</xdr:colOff>
      <xdr:row>12</xdr:row>
      <xdr:rowOff>0</xdr:rowOff>
    </xdr:to>
    <xdr:sp macro="" textlink="">
      <xdr:nvSpPr>
        <xdr:cNvPr id="106" name="Line 1"/>
        <xdr:cNvSpPr/>
      </xdr:nvSpPr>
      <xdr:spPr>
        <a:xfrm>
          <a:off x="6553440" y="2743200"/>
          <a:ext cx="223920" cy="0"/>
        </a:xfrm>
        <a:prstGeom prst="line">
          <a:avLst/>
        </a:prstGeom>
        <a:ln w="9360">
          <a:solidFill>
            <a:srgbClr val="00000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12</xdr:col>
      <xdr:colOff>21960</xdr:colOff>
      <xdr:row>12</xdr:row>
      <xdr:rowOff>147600</xdr:rowOff>
    </xdr:from>
    <xdr:to>
      <xdr:col>13</xdr:col>
      <xdr:colOff>16560</xdr:colOff>
      <xdr:row>12</xdr:row>
      <xdr:rowOff>147600</xdr:rowOff>
    </xdr:to>
    <xdr:sp macro="" textlink="">
      <xdr:nvSpPr>
        <xdr:cNvPr id="107" name="Line 1"/>
        <xdr:cNvSpPr/>
      </xdr:nvSpPr>
      <xdr:spPr>
        <a:xfrm>
          <a:off x="6553440" y="2890800"/>
          <a:ext cx="223920" cy="0"/>
        </a:xfrm>
        <a:prstGeom prst="line">
          <a:avLst/>
        </a:prstGeom>
        <a:ln w="9360">
          <a:solidFill>
            <a:srgbClr val="00000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12</xdr:col>
      <xdr:colOff>21960</xdr:colOff>
      <xdr:row>14</xdr:row>
      <xdr:rowOff>0</xdr:rowOff>
    </xdr:from>
    <xdr:to>
      <xdr:col>13</xdr:col>
      <xdr:colOff>16560</xdr:colOff>
      <xdr:row>14</xdr:row>
      <xdr:rowOff>0</xdr:rowOff>
    </xdr:to>
    <xdr:sp macro="" textlink="">
      <xdr:nvSpPr>
        <xdr:cNvPr id="108" name="Line 1"/>
        <xdr:cNvSpPr/>
      </xdr:nvSpPr>
      <xdr:spPr>
        <a:xfrm>
          <a:off x="6553440" y="3200400"/>
          <a:ext cx="223920" cy="0"/>
        </a:xfrm>
        <a:prstGeom prst="line">
          <a:avLst/>
        </a:prstGeom>
        <a:ln w="9360">
          <a:solidFill>
            <a:srgbClr val="00000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12</xdr:col>
      <xdr:colOff>21960</xdr:colOff>
      <xdr:row>14</xdr:row>
      <xdr:rowOff>147600</xdr:rowOff>
    </xdr:from>
    <xdr:to>
      <xdr:col>13</xdr:col>
      <xdr:colOff>16560</xdr:colOff>
      <xdr:row>14</xdr:row>
      <xdr:rowOff>147600</xdr:rowOff>
    </xdr:to>
    <xdr:sp macro="" textlink="">
      <xdr:nvSpPr>
        <xdr:cNvPr id="109" name="Line 1"/>
        <xdr:cNvSpPr/>
      </xdr:nvSpPr>
      <xdr:spPr>
        <a:xfrm>
          <a:off x="6553440" y="3348000"/>
          <a:ext cx="223920" cy="0"/>
        </a:xfrm>
        <a:prstGeom prst="line">
          <a:avLst/>
        </a:prstGeom>
        <a:ln w="9360">
          <a:solidFill>
            <a:srgbClr val="00000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720</xdr:colOff>
      <xdr:row>3</xdr:row>
      <xdr:rowOff>200160</xdr:rowOff>
    </xdr:from>
    <xdr:to>
      <xdr:col>8</xdr:col>
      <xdr:colOff>720</xdr:colOff>
      <xdr:row>6</xdr:row>
      <xdr:rowOff>190080</xdr:rowOff>
    </xdr:to>
    <xdr:sp macro="" textlink="">
      <xdr:nvSpPr>
        <xdr:cNvPr id="110" name="Line 1"/>
        <xdr:cNvSpPr/>
      </xdr:nvSpPr>
      <xdr:spPr>
        <a:xfrm>
          <a:off x="4233960" y="885960"/>
          <a:ext cx="0" cy="67572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720</xdr:colOff>
      <xdr:row>3</xdr:row>
      <xdr:rowOff>190080</xdr:rowOff>
    </xdr:from>
    <xdr:to>
      <xdr:col>14</xdr:col>
      <xdr:colOff>1080</xdr:colOff>
      <xdr:row>6</xdr:row>
      <xdr:rowOff>181440</xdr:rowOff>
    </xdr:to>
    <xdr:sp macro="" textlink="">
      <xdr:nvSpPr>
        <xdr:cNvPr id="111" name="Line 1"/>
        <xdr:cNvSpPr/>
      </xdr:nvSpPr>
      <xdr:spPr>
        <a:xfrm>
          <a:off x="7165800" y="875880"/>
          <a:ext cx="360" cy="67716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0</xdr:colOff>
      <xdr:row>4</xdr:row>
      <xdr:rowOff>161640</xdr:rowOff>
    </xdr:from>
    <xdr:to>
      <xdr:col>13</xdr:col>
      <xdr:colOff>360</xdr:colOff>
      <xdr:row>6</xdr:row>
      <xdr:rowOff>181440</xdr:rowOff>
    </xdr:to>
    <xdr:sp macro="" textlink="">
      <xdr:nvSpPr>
        <xdr:cNvPr id="112" name="Line 1"/>
        <xdr:cNvSpPr/>
      </xdr:nvSpPr>
      <xdr:spPr>
        <a:xfrm>
          <a:off x="6760800" y="1076040"/>
          <a:ext cx="360" cy="47700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11160</xdr:colOff>
      <xdr:row>4</xdr:row>
      <xdr:rowOff>181440</xdr:rowOff>
    </xdr:from>
    <xdr:to>
      <xdr:col>9</xdr:col>
      <xdr:colOff>11520</xdr:colOff>
      <xdr:row>6</xdr:row>
      <xdr:rowOff>190080</xdr:rowOff>
    </xdr:to>
    <xdr:sp macro="" textlink="">
      <xdr:nvSpPr>
        <xdr:cNvPr id="113" name="Line 1"/>
        <xdr:cNvSpPr/>
      </xdr:nvSpPr>
      <xdr:spPr>
        <a:xfrm>
          <a:off x="4649040" y="1095840"/>
          <a:ext cx="360" cy="46584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0</xdr:colOff>
      <xdr:row>5</xdr:row>
      <xdr:rowOff>171360</xdr:rowOff>
    </xdr:from>
    <xdr:to>
      <xdr:col>10</xdr:col>
      <xdr:colOff>720</xdr:colOff>
      <xdr:row>6</xdr:row>
      <xdr:rowOff>190080</xdr:rowOff>
    </xdr:to>
    <xdr:sp macro="" textlink="">
      <xdr:nvSpPr>
        <xdr:cNvPr id="114" name="Line 1"/>
        <xdr:cNvSpPr/>
      </xdr:nvSpPr>
      <xdr:spPr>
        <a:xfrm>
          <a:off x="4867200" y="1314360"/>
          <a:ext cx="720" cy="24732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0</xdr:colOff>
      <xdr:row>5</xdr:row>
      <xdr:rowOff>171360</xdr:rowOff>
    </xdr:from>
    <xdr:to>
      <xdr:col>12</xdr:col>
      <xdr:colOff>360</xdr:colOff>
      <xdr:row>6</xdr:row>
      <xdr:rowOff>209880</xdr:rowOff>
    </xdr:to>
    <xdr:sp macro="" textlink="">
      <xdr:nvSpPr>
        <xdr:cNvPr id="115" name="Line 1"/>
        <xdr:cNvSpPr/>
      </xdr:nvSpPr>
      <xdr:spPr>
        <a:xfrm>
          <a:off x="6531480" y="1314360"/>
          <a:ext cx="360" cy="26712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720</xdr:colOff>
      <xdr:row>4</xdr:row>
      <xdr:rowOff>0</xdr:rowOff>
    </xdr:from>
    <xdr:to>
      <xdr:col>13</xdr:col>
      <xdr:colOff>404280</xdr:colOff>
      <xdr:row>4</xdr:row>
      <xdr:rowOff>0</xdr:rowOff>
    </xdr:to>
    <xdr:sp macro="" textlink="">
      <xdr:nvSpPr>
        <xdr:cNvPr id="116" name="Line 1"/>
        <xdr:cNvSpPr/>
      </xdr:nvSpPr>
      <xdr:spPr>
        <a:xfrm>
          <a:off x="4233960" y="914400"/>
          <a:ext cx="2931120" cy="0"/>
        </a:xfrm>
        <a:prstGeom prst="line">
          <a:avLst/>
        </a:prstGeom>
        <a:ln w="9360">
          <a:solidFill>
            <a:srgbClr val="000000"/>
          </a:solidFill>
          <a:miter/>
          <a:headEnd type="arrow" w="sm" len="sm"/>
          <a:tailEnd type="arrow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11160</xdr:colOff>
      <xdr:row>5</xdr:row>
      <xdr:rowOff>0</xdr:rowOff>
    </xdr:from>
    <xdr:to>
      <xdr:col>12</xdr:col>
      <xdr:colOff>218520</xdr:colOff>
      <xdr:row>5</xdr:row>
      <xdr:rowOff>0</xdr:rowOff>
    </xdr:to>
    <xdr:sp macro="" textlink="">
      <xdr:nvSpPr>
        <xdr:cNvPr id="117" name="Line 1"/>
        <xdr:cNvSpPr/>
      </xdr:nvSpPr>
      <xdr:spPr>
        <a:xfrm>
          <a:off x="4649040" y="1143000"/>
          <a:ext cx="2100960" cy="0"/>
        </a:xfrm>
        <a:prstGeom prst="line">
          <a:avLst/>
        </a:prstGeom>
        <a:ln w="9360">
          <a:solidFill>
            <a:srgbClr val="000000"/>
          </a:solidFill>
          <a:miter/>
          <a:headEnd type="arrow" w="sm" len="sm"/>
          <a:tailEnd type="arrow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11160</xdr:colOff>
      <xdr:row>6</xdr:row>
      <xdr:rowOff>0</xdr:rowOff>
    </xdr:from>
    <xdr:to>
      <xdr:col>11</xdr:col>
      <xdr:colOff>1019160</xdr:colOff>
      <xdr:row>6</xdr:row>
      <xdr:rowOff>0</xdr:rowOff>
    </xdr:to>
    <xdr:sp macro="" textlink="">
      <xdr:nvSpPr>
        <xdr:cNvPr id="118" name="Line 1"/>
        <xdr:cNvSpPr/>
      </xdr:nvSpPr>
      <xdr:spPr>
        <a:xfrm>
          <a:off x="4878360" y="1371600"/>
          <a:ext cx="1643040" cy="0"/>
        </a:xfrm>
        <a:prstGeom prst="line">
          <a:avLst/>
        </a:prstGeom>
        <a:ln w="9360">
          <a:solidFill>
            <a:srgbClr val="000000"/>
          </a:solidFill>
          <a:miter/>
          <a:headEnd type="arrow" w="sm" len="sm"/>
          <a:tailEnd type="arrow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317880</xdr:colOff>
      <xdr:row>11</xdr:row>
      <xdr:rowOff>218880</xdr:rowOff>
    </xdr:from>
    <xdr:to>
      <xdr:col>7</xdr:col>
      <xdr:colOff>393480</xdr:colOff>
      <xdr:row>11</xdr:row>
      <xdr:rowOff>218880</xdr:rowOff>
    </xdr:to>
    <xdr:sp macro="" textlink="">
      <xdr:nvSpPr>
        <xdr:cNvPr id="119" name="Line 1"/>
        <xdr:cNvSpPr/>
      </xdr:nvSpPr>
      <xdr:spPr>
        <a:xfrm>
          <a:off x="3238560" y="2733480"/>
          <a:ext cx="994680" cy="0"/>
        </a:xfrm>
        <a:prstGeom prst="line">
          <a:avLst/>
        </a:prstGeom>
        <a:ln w="9360">
          <a:solidFill>
            <a:srgbClr val="000000"/>
          </a:solidFill>
          <a:miter/>
          <a:tailEnd type="triangle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8</xdr:col>
      <xdr:colOff>404640</xdr:colOff>
      <xdr:row>14</xdr:row>
      <xdr:rowOff>0</xdr:rowOff>
    </xdr:to>
    <xdr:sp macro="" textlink="">
      <xdr:nvSpPr>
        <xdr:cNvPr id="120" name="Line 1"/>
        <xdr:cNvSpPr/>
      </xdr:nvSpPr>
      <xdr:spPr>
        <a:xfrm>
          <a:off x="3325320" y="3200400"/>
          <a:ext cx="1312560" cy="0"/>
        </a:xfrm>
        <a:prstGeom prst="line">
          <a:avLst/>
        </a:prstGeom>
        <a:ln w="9360">
          <a:solidFill>
            <a:srgbClr val="000000"/>
          </a:solidFill>
          <a:miter/>
          <a:tailEnd type="triangle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11160</xdr:colOff>
      <xdr:row>17</xdr:row>
      <xdr:rowOff>9720</xdr:rowOff>
    </xdr:from>
    <xdr:to>
      <xdr:col>10</xdr:col>
      <xdr:colOff>143280</xdr:colOff>
      <xdr:row>17</xdr:row>
      <xdr:rowOff>9720</xdr:rowOff>
    </xdr:to>
    <xdr:sp macro="" textlink="">
      <xdr:nvSpPr>
        <xdr:cNvPr id="121" name="Line 1"/>
        <xdr:cNvSpPr/>
      </xdr:nvSpPr>
      <xdr:spPr>
        <a:xfrm>
          <a:off x="3336480" y="3895920"/>
          <a:ext cx="1674000" cy="0"/>
        </a:xfrm>
        <a:prstGeom prst="line">
          <a:avLst/>
        </a:prstGeom>
        <a:ln w="9360">
          <a:solidFill>
            <a:srgbClr val="000000"/>
          </a:solidFill>
          <a:miter/>
          <a:tailEnd type="triangle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394200</xdr:colOff>
      <xdr:row>8</xdr:row>
      <xdr:rowOff>0</xdr:rowOff>
    </xdr:from>
    <xdr:to>
      <xdr:col>8</xdr:col>
      <xdr:colOff>164880</xdr:colOff>
      <xdr:row>8</xdr:row>
      <xdr:rowOff>0</xdr:rowOff>
    </xdr:to>
    <xdr:sp macro="" textlink="">
      <xdr:nvSpPr>
        <xdr:cNvPr id="122" name="Line 1"/>
        <xdr:cNvSpPr/>
      </xdr:nvSpPr>
      <xdr:spPr>
        <a:xfrm>
          <a:off x="3314880" y="1828800"/>
          <a:ext cx="1083240" cy="0"/>
        </a:xfrm>
        <a:prstGeom prst="line">
          <a:avLst/>
        </a:prstGeom>
        <a:ln w="9360">
          <a:solidFill>
            <a:srgbClr val="000000"/>
          </a:solidFill>
          <a:miter/>
          <a:tailEnd type="triangle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77400</xdr:colOff>
      <xdr:row>19</xdr:row>
      <xdr:rowOff>9720</xdr:rowOff>
    </xdr:from>
    <xdr:to>
      <xdr:col>15</xdr:col>
      <xdr:colOff>602640</xdr:colOff>
      <xdr:row>19</xdr:row>
      <xdr:rowOff>9720</xdr:rowOff>
    </xdr:to>
    <xdr:sp macro="" textlink="">
      <xdr:nvSpPr>
        <xdr:cNvPr id="123" name="Line 1"/>
        <xdr:cNvSpPr/>
      </xdr:nvSpPr>
      <xdr:spPr>
        <a:xfrm>
          <a:off x="7242480" y="4353120"/>
          <a:ext cx="92988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99000</xdr:colOff>
      <xdr:row>9</xdr:row>
      <xdr:rowOff>0</xdr:rowOff>
    </xdr:from>
    <xdr:to>
      <xdr:col>15</xdr:col>
      <xdr:colOff>624600</xdr:colOff>
      <xdr:row>9</xdr:row>
      <xdr:rowOff>0</xdr:rowOff>
    </xdr:to>
    <xdr:sp macro="" textlink="">
      <xdr:nvSpPr>
        <xdr:cNvPr id="124" name="Line 1"/>
        <xdr:cNvSpPr/>
      </xdr:nvSpPr>
      <xdr:spPr>
        <a:xfrm>
          <a:off x="7264080" y="2057400"/>
          <a:ext cx="93024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55080</xdr:colOff>
      <xdr:row>16</xdr:row>
      <xdr:rowOff>0</xdr:rowOff>
    </xdr:from>
    <xdr:to>
      <xdr:col>15</xdr:col>
      <xdr:colOff>44640</xdr:colOff>
      <xdr:row>16</xdr:row>
      <xdr:rowOff>0</xdr:rowOff>
    </xdr:to>
    <xdr:sp macro="" textlink="">
      <xdr:nvSpPr>
        <xdr:cNvPr id="125" name="Line 1"/>
        <xdr:cNvSpPr/>
      </xdr:nvSpPr>
      <xdr:spPr>
        <a:xfrm>
          <a:off x="7220160" y="3657600"/>
          <a:ext cx="39420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15</xdr:col>
      <xdr:colOff>591480</xdr:colOff>
      <xdr:row>9</xdr:row>
      <xdr:rowOff>0</xdr:rowOff>
    </xdr:from>
    <xdr:to>
      <xdr:col>15</xdr:col>
      <xdr:colOff>592200</xdr:colOff>
      <xdr:row>17</xdr:row>
      <xdr:rowOff>190080</xdr:rowOff>
    </xdr:to>
    <xdr:sp macro="" textlink="">
      <xdr:nvSpPr>
        <xdr:cNvPr id="126" name="Line 1"/>
        <xdr:cNvSpPr/>
      </xdr:nvSpPr>
      <xdr:spPr>
        <a:xfrm flipV="1">
          <a:off x="8161200" y="2057400"/>
          <a:ext cx="720" cy="2018880"/>
        </a:xfrm>
        <a:prstGeom prst="line">
          <a:avLst/>
        </a:prstGeom>
        <a:ln w="9360">
          <a:solidFill>
            <a:srgbClr val="000000"/>
          </a:solidFill>
          <a:miter/>
          <a:headEnd type="arrow" w="sm" len="sm"/>
          <a:tailEnd type="arrow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15</xdr:col>
      <xdr:colOff>0</xdr:colOff>
      <xdr:row>8</xdr:row>
      <xdr:rowOff>218520</xdr:rowOff>
    </xdr:from>
    <xdr:to>
      <xdr:col>15</xdr:col>
      <xdr:colOff>720</xdr:colOff>
      <xdr:row>15</xdr:row>
      <xdr:rowOff>218520</xdr:rowOff>
    </xdr:to>
    <xdr:sp macro="" textlink="">
      <xdr:nvSpPr>
        <xdr:cNvPr id="127" name="Line 1"/>
        <xdr:cNvSpPr/>
      </xdr:nvSpPr>
      <xdr:spPr>
        <a:xfrm flipV="1">
          <a:off x="7569720" y="2047320"/>
          <a:ext cx="720" cy="1600200"/>
        </a:xfrm>
        <a:prstGeom prst="line">
          <a:avLst/>
        </a:prstGeom>
        <a:ln w="9360">
          <a:solidFill>
            <a:srgbClr val="000000"/>
          </a:solidFill>
          <a:miter/>
          <a:headEnd type="arrow" w="sm" len="sm"/>
          <a:tailEnd type="arrow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8</xdr:col>
      <xdr:colOff>1080</xdr:colOff>
      <xdr:row>9</xdr:row>
      <xdr:rowOff>720</xdr:rowOff>
    </xdr:from>
    <xdr:to>
      <xdr:col>8</xdr:col>
      <xdr:colOff>403560</xdr:colOff>
      <xdr:row>9</xdr:row>
      <xdr:rowOff>720</xdr:rowOff>
    </xdr:to>
    <xdr:sp macro="" textlink="">
      <xdr:nvSpPr>
        <xdr:cNvPr id="128" name="Line 1"/>
        <xdr:cNvSpPr/>
      </xdr:nvSpPr>
      <xdr:spPr>
        <a:xfrm>
          <a:off x="4234320" y="2058120"/>
          <a:ext cx="402480" cy="0"/>
        </a:xfrm>
        <a:prstGeom prst="line">
          <a:avLst/>
        </a:prstGeom>
        <a:ln w="28440">
          <a:solidFill>
            <a:srgbClr val="00008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8</xdr:col>
      <xdr:colOff>1080</xdr:colOff>
      <xdr:row>8</xdr:row>
      <xdr:rowOff>218880</xdr:rowOff>
    </xdr:from>
    <xdr:to>
      <xdr:col>8</xdr:col>
      <xdr:colOff>1080</xdr:colOff>
      <xdr:row>17</xdr:row>
      <xdr:rowOff>223560</xdr:rowOff>
    </xdr:to>
    <xdr:sp macro="" textlink="">
      <xdr:nvSpPr>
        <xdr:cNvPr id="129" name="Line 1"/>
        <xdr:cNvSpPr/>
      </xdr:nvSpPr>
      <xdr:spPr>
        <a:xfrm>
          <a:off x="4234320" y="2047680"/>
          <a:ext cx="0" cy="2062080"/>
        </a:xfrm>
        <a:prstGeom prst="line">
          <a:avLst/>
        </a:prstGeom>
        <a:ln w="28440">
          <a:solidFill>
            <a:srgbClr val="00008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8</xdr:col>
      <xdr:colOff>1080</xdr:colOff>
      <xdr:row>17</xdr:row>
      <xdr:rowOff>223560</xdr:rowOff>
    </xdr:from>
    <xdr:to>
      <xdr:col>13</xdr:col>
      <xdr:colOff>398520</xdr:colOff>
      <xdr:row>17</xdr:row>
      <xdr:rowOff>223560</xdr:rowOff>
    </xdr:to>
    <xdr:sp macro="" textlink="">
      <xdr:nvSpPr>
        <xdr:cNvPr id="130" name="Line 1"/>
        <xdr:cNvSpPr/>
      </xdr:nvSpPr>
      <xdr:spPr>
        <a:xfrm>
          <a:off x="4234320" y="4109760"/>
          <a:ext cx="2925000" cy="0"/>
        </a:xfrm>
        <a:prstGeom prst="line">
          <a:avLst/>
        </a:prstGeom>
        <a:ln w="28440">
          <a:solidFill>
            <a:srgbClr val="00008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14</xdr:col>
      <xdr:colOff>6480</xdr:colOff>
      <xdr:row>8</xdr:row>
      <xdr:rowOff>218880</xdr:rowOff>
    </xdr:from>
    <xdr:to>
      <xdr:col>14</xdr:col>
      <xdr:colOff>6480</xdr:colOff>
      <xdr:row>17</xdr:row>
      <xdr:rowOff>223560</xdr:rowOff>
    </xdr:to>
    <xdr:sp macro="" textlink="">
      <xdr:nvSpPr>
        <xdr:cNvPr id="131" name="Line 1"/>
        <xdr:cNvSpPr/>
      </xdr:nvSpPr>
      <xdr:spPr>
        <a:xfrm>
          <a:off x="7171560" y="2047680"/>
          <a:ext cx="0" cy="2062080"/>
        </a:xfrm>
        <a:prstGeom prst="line">
          <a:avLst/>
        </a:prstGeom>
        <a:ln w="28440">
          <a:solidFill>
            <a:srgbClr val="00008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13</xdr:col>
      <xdr:colOff>7920</xdr:colOff>
      <xdr:row>9</xdr:row>
      <xdr:rowOff>720</xdr:rowOff>
    </xdr:from>
    <xdr:to>
      <xdr:col>14</xdr:col>
      <xdr:colOff>6120</xdr:colOff>
      <xdr:row>9</xdr:row>
      <xdr:rowOff>720</xdr:rowOff>
    </xdr:to>
    <xdr:sp macro="" textlink="">
      <xdr:nvSpPr>
        <xdr:cNvPr id="132" name="Line 1"/>
        <xdr:cNvSpPr/>
      </xdr:nvSpPr>
      <xdr:spPr>
        <a:xfrm>
          <a:off x="6768720" y="2058120"/>
          <a:ext cx="402480" cy="0"/>
        </a:xfrm>
        <a:prstGeom prst="line">
          <a:avLst/>
        </a:prstGeom>
        <a:ln w="28440">
          <a:solidFill>
            <a:srgbClr val="00008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15</xdr:col>
      <xdr:colOff>0</xdr:colOff>
      <xdr:row>18</xdr:row>
      <xdr:rowOff>18720</xdr:rowOff>
    </xdr:from>
    <xdr:to>
      <xdr:col>15</xdr:col>
      <xdr:colOff>720</xdr:colOff>
      <xdr:row>19</xdr:row>
      <xdr:rowOff>9720</xdr:rowOff>
    </xdr:to>
    <xdr:sp macro="" textlink="">
      <xdr:nvSpPr>
        <xdr:cNvPr id="133" name="Line 1"/>
        <xdr:cNvSpPr/>
      </xdr:nvSpPr>
      <xdr:spPr>
        <a:xfrm>
          <a:off x="7569720" y="4133520"/>
          <a:ext cx="720" cy="219600"/>
        </a:xfrm>
        <a:prstGeom prst="line">
          <a:avLst/>
        </a:prstGeom>
        <a:ln w="9360">
          <a:solidFill>
            <a:srgbClr val="000000"/>
          </a:solidFill>
          <a:miter/>
          <a:headEnd type="arrow" w="sm" len="sm"/>
          <a:tailEnd type="arrow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77400</xdr:colOff>
      <xdr:row>18</xdr:row>
      <xdr:rowOff>0</xdr:rowOff>
    </xdr:from>
    <xdr:to>
      <xdr:col>15</xdr:col>
      <xdr:colOff>602640</xdr:colOff>
      <xdr:row>18</xdr:row>
      <xdr:rowOff>0</xdr:rowOff>
    </xdr:to>
    <xdr:sp macro="" textlink="">
      <xdr:nvSpPr>
        <xdr:cNvPr id="134" name="Line 1"/>
        <xdr:cNvSpPr/>
      </xdr:nvSpPr>
      <xdr:spPr>
        <a:xfrm>
          <a:off x="7242480" y="4114800"/>
          <a:ext cx="92988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9</xdr:col>
      <xdr:colOff>21960</xdr:colOff>
      <xdr:row>10</xdr:row>
      <xdr:rowOff>0</xdr:rowOff>
    </xdr:from>
    <xdr:to>
      <xdr:col>10</xdr:col>
      <xdr:colOff>16560</xdr:colOff>
      <xdr:row>10</xdr:row>
      <xdr:rowOff>0</xdr:rowOff>
    </xdr:to>
    <xdr:sp macro="" textlink="">
      <xdr:nvSpPr>
        <xdr:cNvPr id="135" name="Line 1"/>
        <xdr:cNvSpPr/>
      </xdr:nvSpPr>
      <xdr:spPr>
        <a:xfrm>
          <a:off x="4659840" y="2286000"/>
          <a:ext cx="223920" cy="0"/>
        </a:xfrm>
        <a:prstGeom prst="line">
          <a:avLst/>
        </a:prstGeom>
        <a:ln w="9360">
          <a:solidFill>
            <a:srgbClr val="00000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9</xdr:col>
      <xdr:colOff>21960</xdr:colOff>
      <xdr:row>10</xdr:row>
      <xdr:rowOff>147600</xdr:rowOff>
    </xdr:from>
    <xdr:to>
      <xdr:col>10</xdr:col>
      <xdr:colOff>16560</xdr:colOff>
      <xdr:row>10</xdr:row>
      <xdr:rowOff>147600</xdr:rowOff>
    </xdr:to>
    <xdr:sp macro="" textlink="">
      <xdr:nvSpPr>
        <xdr:cNvPr id="136" name="Line 1"/>
        <xdr:cNvSpPr/>
      </xdr:nvSpPr>
      <xdr:spPr>
        <a:xfrm>
          <a:off x="4659840" y="2433600"/>
          <a:ext cx="223920" cy="0"/>
        </a:xfrm>
        <a:prstGeom prst="line">
          <a:avLst/>
        </a:prstGeom>
        <a:ln w="9360">
          <a:solidFill>
            <a:srgbClr val="00000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9</xdr:col>
      <xdr:colOff>21960</xdr:colOff>
      <xdr:row>12</xdr:row>
      <xdr:rowOff>0</xdr:rowOff>
    </xdr:from>
    <xdr:to>
      <xdr:col>10</xdr:col>
      <xdr:colOff>16560</xdr:colOff>
      <xdr:row>12</xdr:row>
      <xdr:rowOff>0</xdr:rowOff>
    </xdr:to>
    <xdr:sp macro="" textlink="">
      <xdr:nvSpPr>
        <xdr:cNvPr id="137" name="Line 1"/>
        <xdr:cNvSpPr/>
      </xdr:nvSpPr>
      <xdr:spPr>
        <a:xfrm>
          <a:off x="4659840" y="2743200"/>
          <a:ext cx="223920" cy="0"/>
        </a:xfrm>
        <a:prstGeom prst="line">
          <a:avLst/>
        </a:prstGeom>
        <a:ln w="9360">
          <a:solidFill>
            <a:srgbClr val="00000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9</xdr:col>
      <xdr:colOff>21960</xdr:colOff>
      <xdr:row>12</xdr:row>
      <xdr:rowOff>147600</xdr:rowOff>
    </xdr:from>
    <xdr:to>
      <xdr:col>10</xdr:col>
      <xdr:colOff>16560</xdr:colOff>
      <xdr:row>12</xdr:row>
      <xdr:rowOff>147600</xdr:rowOff>
    </xdr:to>
    <xdr:sp macro="" textlink="">
      <xdr:nvSpPr>
        <xdr:cNvPr id="138" name="Line 1"/>
        <xdr:cNvSpPr/>
      </xdr:nvSpPr>
      <xdr:spPr>
        <a:xfrm>
          <a:off x="4659840" y="2890800"/>
          <a:ext cx="223920" cy="0"/>
        </a:xfrm>
        <a:prstGeom prst="line">
          <a:avLst/>
        </a:prstGeom>
        <a:ln w="9360">
          <a:solidFill>
            <a:srgbClr val="00000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9</xdr:col>
      <xdr:colOff>21960</xdr:colOff>
      <xdr:row>14</xdr:row>
      <xdr:rowOff>0</xdr:rowOff>
    </xdr:from>
    <xdr:to>
      <xdr:col>10</xdr:col>
      <xdr:colOff>16560</xdr:colOff>
      <xdr:row>14</xdr:row>
      <xdr:rowOff>0</xdr:rowOff>
    </xdr:to>
    <xdr:sp macro="" textlink="">
      <xdr:nvSpPr>
        <xdr:cNvPr id="139" name="Line 1"/>
        <xdr:cNvSpPr/>
      </xdr:nvSpPr>
      <xdr:spPr>
        <a:xfrm>
          <a:off x="4659840" y="3200400"/>
          <a:ext cx="223920" cy="0"/>
        </a:xfrm>
        <a:prstGeom prst="line">
          <a:avLst/>
        </a:prstGeom>
        <a:ln w="9360">
          <a:solidFill>
            <a:srgbClr val="00000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9</xdr:col>
      <xdr:colOff>21960</xdr:colOff>
      <xdr:row>14</xdr:row>
      <xdr:rowOff>147600</xdr:rowOff>
    </xdr:from>
    <xdr:to>
      <xdr:col>10</xdr:col>
      <xdr:colOff>16560</xdr:colOff>
      <xdr:row>14</xdr:row>
      <xdr:rowOff>147600</xdr:rowOff>
    </xdr:to>
    <xdr:sp macro="" textlink="">
      <xdr:nvSpPr>
        <xdr:cNvPr id="140" name="Line 1"/>
        <xdr:cNvSpPr/>
      </xdr:nvSpPr>
      <xdr:spPr>
        <a:xfrm>
          <a:off x="4659840" y="3348000"/>
          <a:ext cx="223920" cy="0"/>
        </a:xfrm>
        <a:prstGeom prst="line">
          <a:avLst/>
        </a:prstGeom>
        <a:ln w="9360">
          <a:solidFill>
            <a:srgbClr val="00000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12</xdr:col>
      <xdr:colOff>21960</xdr:colOff>
      <xdr:row>10</xdr:row>
      <xdr:rowOff>0</xdr:rowOff>
    </xdr:from>
    <xdr:to>
      <xdr:col>13</xdr:col>
      <xdr:colOff>16560</xdr:colOff>
      <xdr:row>10</xdr:row>
      <xdr:rowOff>0</xdr:rowOff>
    </xdr:to>
    <xdr:sp macro="" textlink="">
      <xdr:nvSpPr>
        <xdr:cNvPr id="141" name="Line 1"/>
        <xdr:cNvSpPr/>
      </xdr:nvSpPr>
      <xdr:spPr>
        <a:xfrm>
          <a:off x="6553440" y="2286000"/>
          <a:ext cx="223920" cy="0"/>
        </a:xfrm>
        <a:prstGeom prst="line">
          <a:avLst/>
        </a:prstGeom>
        <a:ln w="9360">
          <a:solidFill>
            <a:srgbClr val="00000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12</xdr:col>
      <xdr:colOff>21960</xdr:colOff>
      <xdr:row>10</xdr:row>
      <xdr:rowOff>147600</xdr:rowOff>
    </xdr:from>
    <xdr:to>
      <xdr:col>13</xdr:col>
      <xdr:colOff>16560</xdr:colOff>
      <xdr:row>10</xdr:row>
      <xdr:rowOff>147600</xdr:rowOff>
    </xdr:to>
    <xdr:sp macro="" textlink="">
      <xdr:nvSpPr>
        <xdr:cNvPr id="142" name="Line 1"/>
        <xdr:cNvSpPr/>
      </xdr:nvSpPr>
      <xdr:spPr>
        <a:xfrm>
          <a:off x="6553440" y="2433600"/>
          <a:ext cx="223920" cy="0"/>
        </a:xfrm>
        <a:prstGeom prst="line">
          <a:avLst/>
        </a:prstGeom>
        <a:ln w="9360">
          <a:solidFill>
            <a:srgbClr val="00000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12</xdr:col>
      <xdr:colOff>21960</xdr:colOff>
      <xdr:row>12</xdr:row>
      <xdr:rowOff>0</xdr:rowOff>
    </xdr:from>
    <xdr:to>
      <xdr:col>13</xdr:col>
      <xdr:colOff>16560</xdr:colOff>
      <xdr:row>12</xdr:row>
      <xdr:rowOff>0</xdr:rowOff>
    </xdr:to>
    <xdr:sp macro="" textlink="">
      <xdr:nvSpPr>
        <xdr:cNvPr id="143" name="Line 1"/>
        <xdr:cNvSpPr/>
      </xdr:nvSpPr>
      <xdr:spPr>
        <a:xfrm>
          <a:off x="6553440" y="2743200"/>
          <a:ext cx="223920" cy="0"/>
        </a:xfrm>
        <a:prstGeom prst="line">
          <a:avLst/>
        </a:prstGeom>
        <a:ln w="9360">
          <a:solidFill>
            <a:srgbClr val="00000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12</xdr:col>
      <xdr:colOff>21960</xdr:colOff>
      <xdr:row>12</xdr:row>
      <xdr:rowOff>147600</xdr:rowOff>
    </xdr:from>
    <xdr:to>
      <xdr:col>13</xdr:col>
      <xdr:colOff>16560</xdr:colOff>
      <xdr:row>12</xdr:row>
      <xdr:rowOff>147600</xdr:rowOff>
    </xdr:to>
    <xdr:sp macro="" textlink="">
      <xdr:nvSpPr>
        <xdr:cNvPr id="144" name="Line 1"/>
        <xdr:cNvSpPr/>
      </xdr:nvSpPr>
      <xdr:spPr>
        <a:xfrm>
          <a:off x="6553440" y="2890800"/>
          <a:ext cx="223920" cy="0"/>
        </a:xfrm>
        <a:prstGeom prst="line">
          <a:avLst/>
        </a:prstGeom>
        <a:ln w="9360">
          <a:solidFill>
            <a:srgbClr val="00000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12</xdr:col>
      <xdr:colOff>21960</xdr:colOff>
      <xdr:row>14</xdr:row>
      <xdr:rowOff>0</xdr:rowOff>
    </xdr:from>
    <xdr:to>
      <xdr:col>13</xdr:col>
      <xdr:colOff>16560</xdr:colOff>
      <xdr:row>14</xdr:row>
      <xdr:rowOff>0</xdr:rowOff>
    </xdr:to>
    <xdr:sp macro="" textlink="">
      <xdr:nvSpPr>
        <xdr:cNvPr id="145" name="Line 1"/>
        <xdr:cNvSpPr/>
      </xdr:nvSpPr>
      <xdr:spPr>
        <a:xfrm>
          <a:off x="6553440" y="3200400"/>
          <a:ext cx="223920" cy="0"/>
        </a:xfrm>
        <a:prstGeom prst="line">
          <a:avLst/>
        </a:prstGeom>
        <a:ln w="9360">
          <a:solidFill>
            <a:srgbClr val="00000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12</xdr:col>
      <xdr:colOff>21960</xdr:colOff>
      <xdr:row>14</xdr:row>
      <xdr:rowOff>147600</xdr:rowOff>
    </xdr:from>
    <xdr:to>
      <xdr:col>13</xdr:col>
      <xdr:colOff>16560</xdr:colOff>
      <xdr:row>14</xdr:row>
      <xdr:rowOff>147600</xdr:rowOff>
    </xdr:to>
    <xdr:sp macro="" textlink="">
      <xdr:nvSpPr>
        <xdr:cNvPr id="146" name="Line 1"/>
        <xdr:cNvSpPr/>
      </xdr:nvSpPr>
      <xdr:spPr>
        <a:xfrm>
          <a:off x="6553440" y="3348000"/>
          <a:ext cx="223920" cy="0"/>
        </a:xfrm>
        <a:prstGeom prst="line">
          <a:avLst/>
        </a:prstGeom>
        <a:ln w="9360">
          <a:solidFill>
            <a:srgbClr val="000000"/>
          </a:solidFill>
          <a:custDash>
            <a:ds d="400000" sp="3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33120</xdr:colOff>
      <xdr:row>8</xdr:row>
      <xdr:rowOff>95400</xdr:rowOff>
    </xdr:from>
    <xdr:to>
      <xdr:col>11</xdr:col>
      <xdr:colOff>264240</xdr:colOff>
      <xdr:row>8</xdr:row>
      <xdr:rowOff>219600</xdr:rowOff>
    </xdr:to>
    <xdr:sp macro="" textlink="">
      <xdr:nvSpPr>
        <xdr:cNvPr id="147" name="CustomShape 1"/>
        <xdr:cNvSpPr/>
      </xdr:nvSpPr>
      <xdr:spPr>
        <a:xfrm>
          <a:off x="5535360" y="1924200"/>
          <a:ext cx="231120" cy="124200"/>
        </a:xfrm>
        <a:prstGeom prst="flowChartMerge">
          <a:avLst/>
        </a:prstGeom>
        <a:solidFill>
          <a:srgbClr val="FFFFFF"/>
        </a:solidFill>
        <a:ln w="1260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109800</xdr:colOff>
      <xdr:row>9</xdr:row>
      <xdr:rowOff>0</xdr:rowOff>
    </xdr:from>
    <xdr:to>
      <xdr:col>11</xdr:col>
      <xdr:colOff>876600</xdr:colOff>
      <xdr:row>9</xdr:row>
      <xdr:rowOff>0</xdr:rowOff>
    </xdr:to>
    <xdr:sp macro="" textlink="">
      <xdr:nvSpPr>
        <xdr:cNvPr id="148" name="Line 1"/>
        <xdr:cNvSpPr/>
      </xdr:nvSpPr>
      <xdr:spPr>
        <a:xfrm>
          <a:off x="4977000" y="2057400"/>
          <a:ext cx="1401840" cy="0"/>
        </a:xfrm>
        <a:prstGeom prst="line">
          <a:avLst/>
        </a:prstGeom>
        <a:ln w="1260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9"/>
  <sheetViews>
    <sheetView zoomScaleNormal="100" zoomScalePageLayoutView="60" workbookViewId="0"/>
  </sheetViews>
  <sheetFormatPr defaultRowHeight="13.5" x14ac:dyDescent="0.15"/>
  <cols>
    <col min="1" max="1" width="4.625" style="20" customWidth="1"/>
    <col min="2" max="2" width="2.25" style="20" customWidth="1"/>
    <col min="3" max="3" width="85.5" style="20" customWidth="1"/>
    <col min="4" max="4" width="12.125" style="20" customWidth="1"/>
    <col min="5" max="5" width="19.375" style="20" customWidth="1"/>
    <col min="6" max="6" width="10.75" style="20" customWidth="1"/>
    <col min="7" max="7" width="14.625" style="20" customWidth="1"/>
    <col min="8" max="257" width="9" style="20" customWidth="1"/>
    <col min="258" max="1025" width="9" customWidth="1"/>
  </cols>
  <sheetData>
    <row r="1" spans="1:3" ht="24" customHeight="1" x14ac:dyDescent="0.15">
      <c r="A1" s="20">
        <v>1</v>
      </c>
      <c r="C1" s="20" t="s">
        <v>0</v>
      </c>
    </row>
    <row r="2" spans="1:3" ht="24" customHeight="1" x14ac:dyDescent="0.15">
      <c r="C2" s="20" t="s">
        <v>1</v>
      </c>
    </row>
    <row r="4" spans="1:3" ht="24" customHeight="1" x14ac:dyDescent="0.15">
      <c r="A4" s="20">
        <v>2</v>
      </c>
      <c r="C4" s="20" t="s">
        <v>2</v>
      </c>
    </row>
    <row r="5" spans="1:3" ht="24" customHeight="1" x14ac:dyDescent="0.15">
      <c r="C5" s="20" t="s">
        <v>3</v>
      </c>
    </row>
    <row r="6" spans="1:3" ht="24" customHeight="1" x14ac:dyDescent="0.15">
      <c r="C6" s="20" t="s">
        <v>4</v>
      </c>
    </row>
    <row r="8" spans="1:3" ht="24" customHeight="1" x14ac:dyDescent="0.15">
      <c r="A8" s="20">
        <v>3</v>
      </c>
      <c r="C8" s="20" t="s">
        <v>5</v>
      </c>
    </row>
    <row r="9" spans="1:3" ht="24" customHeight="1" x14ac:dyDescent="0.15">
      <c r="C9" s="20" t="s">
        <v>6</v>
      </c>
    </row>
  </sheetData>
  <sheetProtection sheet="1" objects="1" scenarios="1"/>
  <phoneticPr fontId="7"/>
  <pageMargins left="0.75" right="0.30972222222222201" top="1.5402777777777801" bottom="1" header="1.0701388888888901" footer="0.51180555555555496"/>
  <pageSetup paperSize="9" firstPageNumber="0" orientation="portrait" horizontalDpi="300" verticalDpi="300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0"/>
  <sheetViews>
    <sheetView topLeftCell="A25" zoomScaleNormal="100" zoomScalePageLayoutView="60" workbookViewId="0"/>
  </sheetViews>
  <sheetFormatPr defaultRowHeight="13.5" x14ac:dyDescent="0.15"/>
  <cols>
    <col min="1" max="2" width="4.625" style="20" customWidth="1"/>
    <col min="3" max="3" width="18.375" style="20" customWidth="1"/>
    <col min="4" max="4" width="12.125" style="20" customWidth="1"/>
    <col min="5" max="5" width="19.375" style="20" customWidth="1"/>
    <col min="6" max="6" width="10.75" style="20" customWidth="1"/>
    <col min="7" max="7" width="14.625" style="20" customWidth="1"/>
    <col min="8" max="257" width="9" style="20" customWidth="1"/>
    <col min="258" max="1025" width="9" customWidth="1"/>
  </cols>
  <sheetData>
    <row r="1" spans="1:7" ht="24" customHeight="1" x14ac:dyDescent="0.15">
      <c r="A1" s="20" t="s">
        <v>7</v>
      </c>
    </row>
    <row r="2" spans="1:7" ht="24" customHeight="1" x14ac:dyDescent="0.15">
      <c r="A2" s="21">
        <v>1</v>
      </c>
      <c r="B2" s="20" t="s">
        <v>8</v>
      </c>
    </row>
    <row r="3" spans="1:7" ht="24" customHeight="1" x14ac:dyDescent="0.15">
      <c r="B3" s="20" t="s">
        <v>9</v>
      </c>
      <c r="C3"/>
    </row>
    <row r="4" spans="1:7" ht="24" customHeight="1" x14ac:dyDescent="0.15">
      <c r="C4" s="20" t="s">
        <v>10</v>
      </c>
    </row>
    <row r="5" spans="1:7" ht="24" customHeight="1" x14ac:dyDescent="0.15">
      <c r="C5" s="20" t="s">
        <v>11</v>
      </c>
    </row>
    <row r="6" spans="1:7" ht="24" customHeight="1" x14ac:dyDescent="0.15">
      <c r="C6" s="20" t="s">
        <v>12</v>
      </c>
      <c r="D6" s="20">
        <v>57</v>
      </c>
      <c r="E6" s="20" t="s">
        <v>13</v>
      </c>
    </row>
    <row r="7" spans="1:7" ht="24" customHeight="1" x14ac:dyDescent="0.15">
      <c r="C7" s="20" t="s">
        <v>14</v>
      </c>
    </row>
    <row r="8" spans="1:7" ht="24" customHeight="1" x14ac:dyDescent="0.15">
      <c r="C8" s="20" t="s">
        <v>15</v>
      </c>
    </row>
    <row r="9" spans="1:7" ht="24" customHeight="1" x14ac:dyDescent="0.15">
      <c r="C9" s="22" t="s">
        <v>16</v>
      </c>
      <c r="D9" s="22" t="s">
        <v>17</v>
      </c>
      <c r="E9" s="22" t="s">
        <v>16</v>
      </c>
      <c r="F9" s="23" t="s">
        <v>17</v>
      </c>
      <c r="G9" s="24" t="s">
        <v>18</v>
      </c>
    </row>
    <row r="10" spans="1:7" ht="24" customHeight="1" x14ac:dyDescent="0.15">
      <c r="C10" s="22" t="s">
        <v>19</v>
      </c>
      <c r="D10" s="25">
        <v>0.9</v>
      </c>
      <c r="E10" s="22" t="s">
        <v>20</v>
      </c>
      <c r="F10" s="26">
        <v>1</v>
      </c>
      <c r="G10" s="24" t="s">
        <v>21</v>
      </c>
    </row>
    <row r="11" spans="1:7" ht="24" customHeight="1" x14ac:dyDescent="0.15">
      <c r="C11" s="22" t="s">
        <v>22</v>
      </c>
      <c r="D11" s="22">
        <v>0.85</v>
      </c>
      <c r="E11" s="22" t="s">
        <v>23</v>
      </c>
      <c r="F11" s="26">
        <v>0.2</v>
      </c>
      <c r="G11" s="24" t="s">
        <v>21</v>
      </c>
    </row>
    <row r="12" spans="1:7" ht="24" customHeight="1" x14ac:dyDescent="0.15">
      <c r="C12" s="22" t="s">
        <v>24</v>
      </c>
      <c r="D12" s="25">
        <v>0.7</v>
      </c>
      <c r="E12" s="22" t="s">
        <v>25</v>
      </c>
      <c r="F12" s="26">
        <v>0.3</v>
      </c>
      <c r="G12" s="24" t="s">
        <v>21</v>
      </c>
    </row>
    <row r="13" spans="1:7" ht="24" customHeight="1" x14ac:dyDescent="0.15">
      <c r="C13" s="22" t="s">
        <v>26</v>
      </c>
      <c r="D13" s="25">
        <v>0.8</v>
      </c>
      <c r="E13" s="22" t="s">
        <v>27</v>
      </c>
      <c r="F13" s="23">
        <v>0.15</v>
      </c>
      <c r="G13" s="24" t="s">
        <v>21</v>
      </c>
    </row>
    <row r="14" spans="1:7" ht="24" customHeight="1" x14ac:dyDescent="0.15">
      <c r="C14" s="27"/>
      <c r="D14" s="28"/>
      <c r="E14" s="22" t="s">
        <v>28</v>
      </c>
      <c r="F14" s="26">
        <v>0.3</v>
      </c>
      <c r="G14" s="24" t="s">
        <v>21</v>
      </c>
    </row>
    <row r="15" spans="1:7" ht="24" customHeight="1" x14ac:dyDescent="0.15">
      <c r="C15" s="29"/>
      <c r="D15" s="30"/>
      <c r="E15" s="22" t="s">
        <v>29</v>
      </c>
      <c r="F15" s="26">
        <v>0.5</v>
      </c>
      <c r="G15" s="24" t="s">
        <v>21</v>
      </c>
    </row>
    <row r="18" spans="1:7" ht="24" customHeight="1" x14ac:dyDescent="0.15">
      <c r="A18" s="21">
        <v>2</v>
      </c>
      <c r="B18" s="20" t="s">
        <v>30</v>
      </c>
      <c r="C18"/>
    </row>
    <row r="19" spans="1:7" s="21" customFormat="1" ht="24" customHeight="1" x14ac:dyDescent="0.15">
      <c r="C19" s="22" t="s">
        <v>31</v>
      </c>
      <c r="D19" s="22" t="s">
        <v>32</v>
      </c>
      <c r="E19" s="22" t="s">
        <v>33</v>
      </c>
      <c r="F19" s="22" t="s">
        <v>34</v>
      </c>
      <c r="G19" s="22" t="s">
        <v>35</v>
      </c>
    </row>
    <row r="20" spans="1:7" ht="24" customHeight="1" x14ac:dyDescent="0.15">
      <c r="C20" s="22" t="s">
        <v>19</v>
      </c>
      <c r="D20" s="31">
        <v>0.9</v>
      </c>
      <c r="E20" s="32"/>
      <c r="F20" s="22" t="str">
        <f t="shared" ref="F20:F29" si="0">IF(E20="","",D20*E20)</f>
        <v/>
      </c>
      <c r="G20" s="33" t="str">
        <f t="shared" ref="G20:G29" si="1">IF(E20=0,"",F20*$D$6/1000)</f>
        <v/>
      </c>
    </row>
    <row r="21" spans="1:7" ht="24" customHeight="1" x14ac:dyDescent="0.15">
      <c r="C21" s="22" t="s">
        <v>22</v>
      </c>
      <c r="D21" s="31">
        <v>0.85</v>
      </c>
      <c r="E21" s="32"/>
      <c r="F21" s="22" t="str">
        <f t="shared" si="0"/>
        <v/>
      </c>
      <c r="G21" s="33" t="str">
        <f t="shared" si="1"/>
        <v/>
      </c>
    </row>
    <row r="22" spans="1:7" ht="24" customHeight="1" x14ac:dyDescent="0.15">
      <c r="C22" s="22" t="s">
        <v>26</v>
      </c>
      <c r="D22" s="31">
        <v>0.8</v>
      </c>
      <c r="E22" s="32"/>
      <c r="F22" s="22" t="str">
        <f t="shared" si="0"/>
        <v/>
      </c>
      <c r="G22" s="33" t="str">
        <f t="shared" si="1"/>
        <v/>
      </c>
    </row>
    <row r="23" spans="1:7" ht="24" customHeight="1" x14ac:dyDescent="0.15">
      <c r="C23" s="22" t="s">
        <v>20</v>
      </c>
      <c r="D23" s="31">
        <v>1</v>
      </c>
      <c r="E23" s="32"/>
      <c r="F23" s="22" t="str">
        <f t="shared" si="0"/>
        <v/>
      </c>
      <c r="G23" s="33" t="str">
        <f t="shared" si="1"/>
        <v/>
      </c>
    </row>
    <row r="24" spans="1:7" ht="24" customHeight="1" x14ac:dyDescent="0.15">
      <c r="C24" s="22" t="s">
        <v>24</v>
      </c>
      <c r="D24" s="31">
        <v>0.7</v>
      </c>
      <c r="E24" s="32"/>
      <c r="F24" s="22" t="str">
        <f t="shared" si="0"/>
        <v/>
      </c>
      <c r="G24" s="33" t="str">
        <f t="shared" si="1"/>
        <v/>
      </c>
    </row>
    <row r="25" spans="1:7" ht="24" customHeight="1" x14ac:dyDescent="0.15">
      <c r="C25" s="22" t="s">
        <v>23</v>
      </c>
      <c r="D25" s="31">
        <v>0.2</v>
      </c>
      <c r="E25" s="32"/>
      <c r="F25" s="22" t="str">
        <f t="shared" si="0"/>
        <v/>
      </c>
      <c r="G25" s="33" t="str">
        <f t="shared" si="1"/>
        <v/>
      </c>
    </row>
    <row r="26" spans="1:7" ht="24" customHeight="1" x14ac:dyDescent="0.15">
      <c r="C26" s="22" t="s">
        <v>25</v>
      </c>
      <c r="D26" s="31">
        <v>0.3</v>
      </c>
      <c r="E26" s="32"/>
      <c r="F26" s="22" t="str">
        <f t="shared" si="0"/>
        <v/>
      </c>
      <c r="G26" s="33" t="str">
        <f t="shared" si="1"/>
        <v/>
      </c>
    </row>
    <row r="27" spans="1:7" ht="24" customHeight="1" x14ac:dyDescent="0.15">
      <c r="C27" s="22" t="s">
        <v>27</v>
      </c>
      <c r="D27" s="31">
        <v>0.15</v>
      </c>
      <c r="E27" s="32"/>
      <c r="F27" s="22" t="str">
        <f t="shared" si="0"/>
        <v/>
      </c>
      <c r="G27" s="33" t="str">
        <f t="shared" si="1"/>
        <v/>
      </c>
    </row>
    <row r="28" spans="1:7" ht="24" customHeight="1" x14ac:dyDescent="0.15">
      <c r="C28" s="22" t="s">
        <v>28</v>
      </c>
      <c r="D28" s="31">
        <v>0.3</v>
      </c>
      <c r="E28" s="32"/>
      <c r="F28" s="22" t="str">
        <f t="shared" si="0"/>
        <v/>
      </c>
      <c r="G28" s="33" t="str">
        <f t="shared" si="1"/>
        <v/>
      </c>
    </row>
    <row r="29" spans="1:7" ht="24" customHeight="1" x14ac:dyDescent="0.15">
      <c r="C29" s="22" t="s">
        <v>29</v>
      </c>
      <c r="D29" s="31">
        <v>0.5</v>
      </c>
      <c r="E29" s="32"/>
      <c r="F29" s="22" t="str">
        <f t="shared" si="0"/>
        <v/>
      </c>
      <c r="G29" s="33" t="str">
        <f t="shared" si="1"/>
        <v/>
      </c>
    </row>
    <row r="30" spans="1:7" ht="24" customHeight="1" x14ac:dyDescent="0.15">
      <c r="C30" s="22" t="s">
        <v>36</v>
      </c>
      <c r="D30" s="34" t="str">
        <f>IF(E30=0,"",F30/E30)</f>
        <v/>
      </c>
      <c r="E30" s="22">
        <f>SUM(E20:E29)</f>
        <v>0</v>
      </c>
      <c r="F30" s="22">
        <f>SUM(F20:F29)</f>
        <v>0</v>
      </c>
      <c r="G30" s="33" t="str">
        <f>IF(E30=0,"",ROUNDUP(F30*$D$6/1000,3))</f>
        <v/>
      </c>
    </row>
  </sheetData>
  <phoneticPr fontId="7"/>
  <pageMargins left="1.1499999999999999" right="0.30972222222222201" top="1.00972222222222" bottom="1" header="0.51180555555555496" footer="0.51180555555555496"/>
  <pageSetup paperSize="9" firstPageNumber="0" orientation="portrait" horizontalDpi="300" verticalDpi="300"/>
  <headerFooter>
    <oddFooter>&amp;C浸透計算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0"/>
  <sheetViews>
    <sheetView tabSelected="1" topLeftCell="A7" zoomScaleNormal="100" zoomScalePageLayoutView="60" workbookViewId="0">
      <selection activeCell="E41" sqref="E41"/>
    </sheetView>
  </sheetViews>
  <sheetFormatPr defaultRowHeight="13.5" x14ac:dyDescent="0.15"/>
  <cols>
    <col min="1" max="1" width="3.875" style="20" customWidth="1"/>
    <col min="2" max="4" width="4.625" style="20" customWidth="1"/>
    <col min="5" max="7" width="12.625" style="20" customWidth="1"/>
    <col min="8" max="8" width="9.125" style="20" customWidth="1"/>
    <col min="9" max="9" width="10.75" style="20" customWidth="1"/>
    <col min="10" max="10" width="13.375" style="20" customWidth="1"/>
    <col min="11" max="14" width="9" style="20" customWidth="1"/>
    <col min="15" max="15" width="11.5" style="20"/>
    <col min="16" max="257" width="9" style="20" customWidth="1"/>
    <col min="258" max="1025" width="9" customWidth="1"/>
  </cols>
  <sheetData>
    <row r="1" spans="1:15" ht="18" customHeight="1" x14ac:dyDescent="0.15">
      <c r="A1" s="20" t="s">
        <v>37</v>
      </c>
    </row>
    <row r="2" spans="1:15" s="35" customFormat="1" ht="18" customHeight="1" x14ac:dyDescent="0.15">
      <c r="A2" s="29">
        <v>1</v>
      </c>
      <c r="B2" s="35" t="s">
        <v>38</v>
      </c>
      <c r="G2" s="29"/>
      <c r="H2" s="36"/>
      <c r="I2" s="37"/>
      <c r="J2" s="37"/>
    </row>
    <row r="3" spans="1:15" s="35" customFormat="1" ht="18" customHeight="1" x14ac:dyDescent="0.15">
      <c r="C3" s="38" t="s">
        <v>39</v>
      </c>
      <c r="D3" s="39"/>
      <c r="E3" s="40"/>
      <c r="F3" s="32">
        <v>0.1</v>
      </c>
      <c r="G3" s="41"/>
      <c r="H3" s="36"/>
      <c r="I3" s="29"/>
      <c r="J3" s="29"/>
      <c r="K3" s="42"/>
      <c r="O3" s="42"/>
    </row>
    <row r="4" spans="1:15" s="35" customFormat="1" ht="18" customHeight="1" x14ac:dyDescent="0.15">
      <c r="G4" s="41"/>
      <c r="H4" s="36"/>
      <c r="I4" s="29"/>
      <c r="J4" s="29"/>
      <c r="K4" s="42"/>
      <c r="O4" s="42"/>
    </row>
    <row r="5" spans="1:15" s="35" customFormat="1" ht="18" customHeight="1" x14ac:dyDescent="0.15">
      <c r="H5" s="43"/>
      <c r="I5"/>
      <c r="K5" s="42"/>
      <c r="O5" s="42"/>
    </row>
    <row r="6" spans="1:15" s="35" customFormat="1" ht="18" customHeight="1" x14ac:dyDescent="0.15">
      <c r="A6" s="29">
        <v>2</v>
      </c>
      <c r="B6" s="35" t="s">
        <v>40</v>
      </c>
      <c r="G6"/>
      <c r="H6"/>
      <c r="I6"/>
      <c r="J6"/>
      <c r="K6" s="42"/>
      <c r="O6" s="42"/>
    </row>
    <row r="7" spans="1:15" s="35" customFormat="1" ht="18" customHeight="1" x14ac:dyDescent="0.15">
      <c r="B7" s="35">
        <v>2.1</v>
      </c>
      <c r="C7" s="35" t="s">
        <v>41</v>
      </c>
    </row>
    <row r="8" spans="1:15" s="35" customFormat="1" ht="18" customHeight="1" x14ac:dyDescent="0.15">
      <c r="C8" s="35" t="s">
        <v>42</v>
      </c>
    </row>
    <row r="9" spans="1:15" s="35" customFormat="1" ht="18" customHeight="1" x14ac:dyDescent="0.15">
      <c r="C9" s="35" t="s">
        <v>43</v>
      </c>
      <c r="I9" s="42"/>
      <c r="J9" s="42"/>
      <c r="K9" s="42"/>
      <c r="O9" s="42"/>
    </row>
    <row r="10" spans="1:15" s="35" customFormat="1" ht="18" customHeight="1" x14ac:dyDescent="0.15">
      <c r="D10" s="35" t="s">
        <v>44</v>
      </c>
      <c r="I10" s="42"/>
      <c r="J10" s="42"/>
      <c r="K10" s="42"/>
      <c r="O10" s="42"/>
    </row>
    <row r="11" spans="1:15" s="35" customFormat="1" ht="18" customHeight="1" x14ac:dyDescent="0.15">
      <c r="E11" s="35" t="s">
        <v>45</v>
      </c>
      <c r="F11"/>
      <c r="I11" s="42"/>
      <c r="J11" s="42"/>
      <c r="K11" s="42"/>
      <c r="O11" s="42"/>
    </row>
    <row r="12" spans="1:15" s="35" customFormat="1" ht="18" customHeight="1" x14ac:dyDescent="0.15">
      <c r="E12" s="35" t="s">
        <v>46</v>
      </c>
      <c r="F12"/>
      <c r="I12" s="42"/>
      <c r="J12" s="42"/>
      <c r="K12" s="42"/>
      <c r="O12" s="42"/>
    </row>
    <row r="13" spans="1:15" s="35" customFormat="1" ht="18" customHeight="1" x14ac:dyDescent="0.15">
      <c r="E13" s="35" t="s">
        <v>47</v>
      </c>
      <c r="F13"/>
      <c r="I13" s="42"/>
      <c r="J13" s="42"/>
      <c r="K13" s="42"/>
      <c r="O13" s="42"/>
    </row>
    <row r="14" spans="1:15" s="35" customFormat="1" ht="18" customHeight="1" x14ac:dyDescent="0.15">
      <c r="F14"/>
      <c r="G14" s="44"/>
      <c r="H14"/>
      <c r="I14" s="42"/>
      <c r="J14" s="42"/>
      <c r="K14" s="42"/>
      <c r="O14" s="42"/>
    </row>
    <row r="15" spans="1:15" s="35" customFormat="1" ht="18" customHeight="1" x14ac:dyDescent="0.15">
      <c r="B15" s="35">
        <v>2.2000000000000002</v>
      </c>
      <c r="C15" s="35" t="s">
        <v>48</v>
      </c>
      <c r="I15" s="42"/>
      <c r="J15" s="42"/>
      <c r="K15" s="42"/>
      <c r="O15" s="42"/>
    </row>
    <row r="16" spans="1:15" s="35" customFormat="1" ht="18" customHeight="1" x14ac:dyDescent="0.15">
      <c r="C16" s="35" t="s">
        <v>49</v>
      </c>
      <c r="I16" s="42"/>
      <c r="J16" s="42"/>
      <c r="K16" s="42"/>
      <c r="O16" s="42"/>
    </row>
    <row r="17" spans="1:15" s="35" customFormat="1" ht="18" customHeight="1" x14ac:dyDescent="0.15">
      <c r="D17" s="35" t="s">
        <v>50</v>
      </c>
      <c r="F17"/>
      <c r="I17" s="42"/>
      <c r="J17" s="42"/>
      <c r="K17" s="42"/>
      <c r="O17" s="42"/>
    </row>
    <row r="18" spans="1:15" s="35" customFormat="1" ht="18" customHeight="1" x14ac:dyDescent="0.15">
      <c r="E18" s="35" t="s">
        <v>51</v>
      </c>
      <c r="F18"/>
      <c r="I18" s="42"/>
      <c r="J18" s="42"/>
      <c r="K18" s="42"/>
      <c r="O18" s="42"/>
    </row>
    <row r="19" spans="1:15" s="35" customFormat="1" ht="18" customHeight="1" x14ac:dyDescent="0.15">
      <c r="E19" s="35" t="s">
        <v>52</v>
      </c>
      <c r="F19"/>
      <c r="I19" s="42"/>
      <c r="J19" s="42"/>
      <c r="K19" s="42"/>
      <c r="O19" s="42"/>
    </row>
    <row r="20" spans="1:15" s="35" customFormat="1" ht="18" customHeight="1" x14ac:dyDescent="0.15">
      <c r="E20" s="35" t="s">
        <v>53</v>
      </c>
      <c r="F20"/>
      <c r="I20" s="42"/>
      <c r="J20" s="42"/>
      <c r="K20" s="42"/>
      <c r="O20" s="42"/>
    </row>
    <row r="21" spans="1:15" s="35" customFormat="1" ht="18" customHeight="1" x14ac:dyDescent="0.15">
      <c r="I21" s="42"/>
      <c r="J21" s="42"/>
      <c r="K21" s="42"/>
      <c r="O21" s="42"/>
    </row>
    <row r="22" spans="1:15" s="35" customFormat="1" ht="18" customHeight="1" x14ac:dyDescent="0.15">
      <c r="B22" s="35">
        <v>2.2999999999999998</v>
      </c>
      <c r="C22" s="35" t="s">
        <v>54</v>
      </c>
      <c r="I22" s="42"/>
      <c r="J22" s="42"/>
      <c r="K22" s="42"/>
      <c r="O22" s="42"/>
    </row>
    <row r="23" spans="1:15" s="35" customFormat="1" ht="18" customHeight="1" x14ac:dyDescent="0.15">
      <c r="D23" s="35" t="s">
        <v>55</v>
      </c>
      <c r="F23"/>
      <c r="I23" s="42"/>
      <c r="J23" s="42"/>
      <c r="K23" s="42"/>
      <c r="O23" s="42"/>
    </row>
    <row r="24" spans="1:15" s="35" customFormat="1" ht="18" customHeight="1" x14ac:dyDescent="0.15">
      <c r="E24" s="35" t="s">
        <v>56</v>
      </c>
      <c r="F24"/>
      <c r="I24" s="42"/>
      <c r="J24" s="42"/>
      <c r="K24" s="42"/>
      <c r="O24" s="42"/>
    </row>
    <row r="25" spans="1:15" s="35" customFormat="1" ht="18" customHeight="1" x14ac:dyDescent="0.15">
      <c r="E25" s="35" t="s">
        <v>45</v>
      </c>
      <c r="F25"/>
      <c r="I25" s="42"/>
      <c r="J25" s="42"/>
      <c r="K25" s="42"/>
      <c r="O25" s="42"/>
    </row>
    <row r="26" spans="1:15" s="35" customFormat="1" ht="18" customHeight="1" x14ac:dyDescent="0.15">
      <c r="E26" s="35" t="s">
        <v>51</v>
      </c>
      <c r="F26"/>
      <c r="I26" s="42"/>
      <c r="J26" s="42"/>
      <c r="K26" s="42"/>
      <c r="O26" s="42"/>
    </row>
    <row r="27" spans="1:15" s="35" customFormat="1" ht="18" customHeight="1" x14ac:dyDescent="0.15">
      <c r="I27" s="42"/>
      <c r="J27" s="42"/>
      <c r="K27" s="42"/>
      <c r="O27" s="42"/>
    </row>
    <row r="28" spans="1:15" ht="18" customHeight="1" x14ac:dyDescent="0.15">
      <c r="A28" s="21">
        <v>3</v>
      </c>
      <c r="B28" s="20" t="s">
        <v>57</v>
      </c>
      <c r="E28" s="20" t="s">
        <v>58</v>
      </c>
    </row>
    <row r="29" spans="1:15" ht="18" customHeight="1" x14ac:dyDescent="0.15">
      <c r="E29" s="45" t="s">
        <v>59</v>
      </c>
      <c r="F29" s="45" t="s">
        <v>60</v>
      </c>
      <c r="G29" s="46" t="s">
        <v>54</v>
      </c>
      <c r="H29" s="45" t="s">
        <v>61</v>
      </c>
      <c r="I29" s="45" t="s">
        <v>62</v>
      </c>
      <c r="J29" s="47" t="s">
        <v>63</v>
      </c>
    </row>
    <row r="30" spans="1:15" ht="18" customHeight="1" x14ac:dyDescent="0.15">
      <c r="E30" s="48"/>
      <c r="F30" s="48"/>
      <c r="G30" s="49" t="s">
        <v>64</v>
      </c>
      <c r="H30" s="48"/>
      <c r="I30" s="48"/>
      <c r="J30" s="49" t="s">
        <v>65</v>
      </c>
    </row>
    <row r="31" spans="1:15" ht="18" customHeight="1" x14ac:dyDescent="0.15">
      <c r="E31" s="22" t="s">
        <v>66</v>
      </c>
      <c r="F31" s="32"/>
      <c r="G31" s="50"/>
      <c r="H31" s="32"/>
      <c r="I31" s="22" t="s">
        <v>67</v>
      </c>
      <c r="J31" s="33" t="str">
        <f>IF(G31="","",G31*H31)</f>
        <v/>
      </c>
    </row>
    <row r="32" spans="1:15" ht="18" customHeight="1" x14ac:dyDescent="0.15">
      <c r="E32" s="22" t="s">
        <v>66</v>
      </c>
      <c r="F32" s="32"/>
      <c r="G32" s="51"/>
      <c r="H32" s="32"/>
      <c r="I32" s="22" t="s">
        <v>67</v>
      </c>
      <c r="J32" s="33" t="str">
        <f>IF(G32="","",G32*H32)</f>
        <v/>
      </c>
    </row>
    <row r="33" spans="1:10" ht="18" customHeight="1" x14ac:dyDescent="0.15">
      <c r="E33" s="22" t="s">
        <v>68</v>
      </c>
      <c r="F33" s="32"/>
      <c r="G33" s="50"/>
      <c r="H33" s="32"/>
      <c r="I33" s="22" t="s">
        <v>69</v>
      </c>
      <c r="J33" s="33" t="str">
        <f>IF(G33="","",G33*H33)</f>
        <v/>
      </c>
    </row>
    <row r="34" spans="1:10" ht="18" customHeight="1" x14ac:dyDescent="0.15">
      <c r="E34" s="22" t="s">
        <v>70</v>
      </c>
      <c r="F34" s="32"/>
      <c r="G34" s="50"/>
      <c r="H34" s="32"/>
      <c r="I34" s="22" t="s">
        <v>69</v>
      </c>
      <c r="J34" s="33" t="str">
        <f>IF(G34="","",G34*H34)</f>
        <v/>
      </c>
    </row>
    <row r="35" spans="1:10" ht="18" customHeight="1" x14ac:dyDescent="0.15">
      <c r="E35" s="22" t="s">
        <v>36</v>
      </c>
      <c r="F35" s="22" t="s">
        <v>71</v>
      </c>
      <c r="G35" s="22" t="s">
        <v>71</v>
      </c>
      <c r="H35" s="22" t="s">
        <v>71</v>
      </c>
      <c r="I35" s="22" t="s">
        <v>71</v>
      </c>
      <c r="J35" s="33">
        <f>SUM(J31:J34)</f>
        <v>0</v>
      </c>
    </row>
    <row r="37" spans="1:10" ht="18" customHeight="1" x14ac:dyDescent="0.15">
      <c r="A37" s="21">
        <v>4</v>
      </c>
      <c r="B37" s="20" t="s">
        <v>72</v>
      </c>
    </row>
    <row r="38" spans="1:10" ht="18" customHeight="1" x14ac:dyDescent="0.15">
      <c r="E38" s="45" t="s">
        <v>73</v>
      </c>
      <c r="F38" s="45" t="s">
        <v>74</v>
      </c>
      <c r="G38" s="45" t="s">
        <v>72</v>
      </c>
    </row>
    <row r="39" spans="1:10" ht="18" customHeight="1" x14ac:dyDescent="0.15">
      <c r="E39" s="49" t="s">
        <v>75</v>
      </c>
      <c r="F39" s="49" t="s">
        <v>75</v>
      </c>
      <c r="G39" s="49"/>
    </row>
    <row r="40" spans="1:10" ht="18" customHeight="1" x14ac:dyDescent="0.15">
      <c r="E40" s="34" t="e">
        <f>ROUNDUP(流出量計算!G30,2)</f>
        <v>#VALUE!</v>
      </c>
      <c r="F40" s="34">
        <f>ROUNDDOWN(J35,2)</f>
        <v>0</v>
      </c>
      <c r="G40" s="22" t="e">
        <f>IF(F40-E40&gt;=0,"満足する","不足です")</f>
        <v>#VALUE!</v>
      </c>
    </row>
  </sheetData>
  <phoneticPr fontId="7"/>
  <pageMargins left="1" right="0.42013888888888901" top="1.1499999999999999" bottom="0.68958333333333299" header="0.51180555555555496" footer="0.32986111111111099"/>
  <pageSetup paperSize="9" firstPageNumber="0" orientation="portrait" horizontalDpi="300" verticalDpi="300"/>
  <headerFooter>
    <oddFooter>&amp;C浸透計算 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9"/>
  <sheetViews>
    <sheetView topLeftCell="A22" zoomScaleNormal="100" zoomScalePageLayoutView="60" workbookViewId="0"/>
  </sheetViews>
  <sheetFormatPr defaultRowHeight="13.5" x14ac:dyDescent="0.15"/>
  <cols>
    <col min="1" max="2" width="4.625" style="20" customWidth="1"/>
    <col min="3" max="3" width="8.875" style="21" customWidth="1"/>
    <col min="4" max="5" width="7.625" style="20" customWidth="1"/>
    <col min="6" max="6" width="4.625" style="20" customWidth="1"/>
    <col min="7" max="7" width="5.875" style="20" customWidth="1"/>
    <col min="8" max="8" width="4.5" style="20" customWidth="1"/>
    <col min="9" max="9" width="4.625" style="20" customWidth="1"/>
    <col min="10" max="10" width="2.625" style="20" customWidth="1"/>
    <col min="11" max="11" width="7.25" style="20" customWidth="1"/>
    <col min="12" max="12" width="11.75" style="20" customWidth="1"/>
    <col min="13" max="13" width="2.625" style="20" customWidth="1"/>
    <col min="14" max="15" width="4.625" style="20" customWidth="1"/>
    <col min="16" max="16" width="7.75" style="20" customWidth="1"/>
    <col min="17" max="18" width="4.625" style="20" customWidth="1"/>
    <col min="19" max="19" width="6.75" style="20" customWidth="1"/>
    <col min="20" max="22" width="4.625" style="20" customWidth="1"/>
    <col min="23" max="23" width="14.625" style="20" customWidth="1"/>
    <col min="24" max="257" width="9" style="20" customWidth="1"/>
    <col min="258" max="1025" width="9" customWidth="1"/>
  </cols>
  <sheetData>
    <row r="1" spans="1:21" ht="18" customHeight="1" x14ac:dyDescent="0.15">
      <c r="A1" s="20" t="s">
        <v>76</v>
      </c>
    </row>
    <row r="2" spans="1:21" ht="18" customHeight="1" x14ac:dyDescent="0.15">
      <c r="A2" s="21">
        <v>1</v>
      </c>
      <c r="B2" s="20" t="s">
        <v>77</v>
      </c>
    </row>
    <row r="3" spans="1:21" ht="18" customHeight="1" x14ac:dyDescent="0.15">
      <c r="A3" s="21"/>
      <c r="C3" s="29"/>
      <c r="D3" s="29"/>
      <c r="E3" s="29"/>
      <c r="L3" s="20" t="s">
        <v>78</v>
      </c>
    </row>
    <row r="4" spans="1:21" ht="18" customHeight="1" x14ac:dyDescent="0.15">
      <c r="C4" s="29"/>
      <c r="D4" s="29"/>
      <c r="E4" s="29"/>
      <c r="I4"/>
      <c r="K4" s="20" t="s">
        <v>79</v>
      </c>
      <c r="L4" s="52"/>
      <c r="M4" s="21"/>
      <c r="S4" s="22" t="s">
        <v>80</v>
      </c>
      <c r="T4" s="22" t="s">
        <v>81</v>
      </c>
      <c r="U4" s="22" t="s">
        <v>82</v>
      </c>
    </row>
    <row r="5" spans="1:21" s="21" customFormat="1" ht="18" customHeight="1" x14ac:dyDescent="0.15">
      <c r="C5" s="22" t="s">
        <v>83</v>
      </c>
      <c r="D5" s="14" t="s">
        <v>84</v>
      </c>
      <c r="E5" s="14"/>
      <c r="I5" s="29"/>
      <c r="J5" s="44" t="s">
        <v>85</v>
      </c>
      <c r="K5"/>
      <c r="L5" s="53"/>
      <c r="M5" s="29"/>
      <c r="N5" s="29"/>
      <c r="S5" s="22" t="s">
        <v>86</v>
      </c>
      <c r="T5" s="22">
        <v>75</v>
      </c>
      <c r="U5" s="22">
        <v>89</v>
      </c>
    </row>
    <row r="6" spans="1:21" s="21" customFormat="1" ht="18" customHeight="1" x14ac:dyDescent="0.15">
      <c r="C6" s="22" t="s">
        <v>87</v>
      </c>
      <c r="D6" s="14" t="s">
        <v>88</v>
      </c>
      <c r="E6" s="14"/>
      <c r="I6" s="29"/>
      <c r="J6" s="44" t="s">
        <v>89</v>
      </c>
      <c r="K6"/>
      <c r="L6" s="53"/>
      <c r="M6" s="29"/>
      <c r="N6" s="29"/>
      <c r="S6" s="22" t="s">
        <v>90</v>
      </c>
      <c r="T6" s="22">
        <v>100</v>
      </c>
      <c r="U6" s="22">
        <v>114</v>
      </c>
    </row>
    <row r="7" spans="1:21" s="21" customFormat="1" ht="18" customHeight="1" x14ac:dyDescent="0.15">
      <c r="C7" s="22" t="s">
        <v>91</v>
      </c>
      <c r="D7" s="14" t="s">
        <v>92</v>
      </c>
      <c r="E7" s="14"/>
      <c r="I7" s="29"/>
      <c r="J7" s="29"/>
      <c r="K7" s="29"/>
      <c r="L7" s="29"/>
      <c r="M7" s="29"/>
      <c r="N7" s="29"/>
      <c r="S7" s="22" t="s">
        <v>93</v>
      </c>
      <c r="T7" s="22">
        <v>125</v>
      </c>
      <c r="U7" s="22">
        <v>140</v>
      </c>
    </row>
    <row r="8" spans="1:21" s="21" customFormat="1" ht="18" customHeight="1" x14ac:dyDescent="0.15">
      <c r="C8" s="22" t="s">
        <v>94</v>
      </c>
      <c r="D8" s="14" t="s">
        <v>95</v>
      </c>
      <c r="E8" s="14"/>
      <c r="G8" s="54" t="s">
        <v>96</v>
      </c>
      <c r="I8" s="55"/>
      <c r="J8" s="56"/>
      <c r="K8" s="56"/>
      <c r="L8" s="56"/>
      <c r="M8" s="56"/>
      <c r="N8" s="57"/>
      <c r="S8" s="22" t="s">
        <v>97</v>
      </c>
      <c r="T8" s="22">
        <v>150</v>
      </c>
      <c r="U8" s="22">
        <v>165</v>
      </c>
    </row>
    <row r="9" spans="1:21" s="21" customFormat="1" ht="18" customHeight="1" x14ac:dyDescent="0.15">
      <c r="C9" s="22" t="s">
        <v>98</v>
      </c>
      <c r="D9" s="14" t="s">
        <v>99</v>
      </c>
      <c r="E9" s="14"/>
      <c r="I9" s="58"/>
      <c r="J9" s="59"/>
      <c r="K9" s="59"/>
      <c r="L9" s="59"/>
      <c r="M9" s="59"/>
      <c r="N9" s="60"/>
      <c r="S9" s="22" t="s">
        <v>100</v>
      </c>
      <c r="T9" s="22">
        <v>200</v>
      </c>
      <c r="U9" s="22">
        <v>216</v>
      </c>
    </row>
    <row r="10" spans="1:21" s="21" customFormat="1" ht="18" customHeight="1" x14ac:dyDescent="0.15">
      <c r="C10" s="22" t="s">
        <v>101</v>
      </c>
      <c r="D10" s="14" t="str">
        <f>IF(P14="","",P14/1000)</f>
        <v/>
      </c>
      <c r="E10" s="14"/>
      <c r="I10" s="61"/>
      <c r="J10" s="61"/>
      <c r="K10" s="61"/>
      <c r="L10" s="61"/>
      <c r="M10" s="61"/>
      <c r="N10" s="61"/>
      <c r="S10" s="22" t="s">
        <v>102</v>
      </c>
      <c r="T10" s="22">
        <v>250</v>
      </c>
      <c r="U10" s="22">
        <v>267</v>
      </c>
    </row>
    <row r="11" spans="1:21" s="21" customFormat="1" ht="18" customHeight="1" x14ac:dyDescent="0.15">
      <c r="C11" s="22" t="s">
        <v>103</v>
      </c>
      <c r="D11" s="14" t="str">
        <f>IF(L4="","",L4/1000)</f>
        <v/>
      </c>
      <c r="E11" s="14"/>
      <c r="I11" s="61"/>
      <c r="J11" s="61"/>
      <c r="K11" s="61"/>
      <c r="L11" s="61"/>
      <c r="M11" s="61"/>
      <c r="N11" s="61"/>
      <c r="S11" s="22" t="s">
        <v>104</v>
      </c>
      <c r="T11" s="22">
        <v>300</v>
      </c>
      <c r="U11" s="22">
        <v>318</v>
      </c>
    </row>
    <row r="12" spans="1:21" ht="18" customHeight="1" x14ac:dyDescent="0.15">
      <c r="C12" s="22" t="s">
        <v>105</v>
      </c>
      <c r="D12" s="14" t="s">
        <v>71</v>
      </c>
      <c r="E12" s="14"/>
      <c r="G12" s="20" t="s">
        <v>106</v>
      </c>
      <c r="I12" s="62"/>
      <c r="J12" s="61"/>
      <c r="K12" s="61"/>
      <c r="L12" s="61"/>
      <c r="M12" s="61"/>
      <c r="N12" s="62"/>
      <c r="O12" s="21"/>
      <c r="P12" s="21"/>
    </row>
    <row r="13" spans="1:21" ht="18" customHeight="1" x14ac:dyDescent="0.15">
      <c r="C13" s="63" t="s">
        <v>107</v>
      </c>
      <c r="D13" s="13">
        <v>3.093</v>
      </c>
      <c r="E13" s="13"/>
      <c r="I13" s="62"/>
      <c r="J13" s="61"/>
      <c r="K13" s="61"/>
      <c r="L13" s="61"/>
      <c r="M13" s="61"/>
      <c r="N13" s="62"/>
    </row>
    <row r="14" spans="1:21" s="65" customFormat="1" ht="18" customHeight="1" x14ac:dyDescent="0.15">
      <c r="C14" s="63" t="s">
        <v>108</v>
      </c>
      <c r="D14" s="12" t="s">
        <v>109</v>
      </c>
      <c r="E14" s="12"/>
      <c r="G14" s="54" t="s">
        <v>110</v>
      </c>
      <c r="H14" s="21"/>
      <c r="I14" s="67"/>
      <c r="J14" s="61"/>
      <c r="K14" s="61"/>
      <c r="L14" s="61"/>
      <c r="M14" s="61"/>
      <c r="N14" s="67"/>
      <c r="O14" s="68" t="s">
        <v>111</v>
      </c>
      <c r="P14" s="69"/>
    </row>
    <row r="15" spans="1:21" s="70" customFormat="1" ht="18" customHeight="1" x14ac:dyDescent="0.15">
      <c r="C15" s="71"/>
      <c r="D15" s="13" t="str">
        <f>IF(D11="","",1.34*D11+0.677)</f>
        <v/>
      </c>
      <c r="E15" s="13"/>
      <c r="G15" s="20"/>
      <c r="H15" s="20"/>
      <c r="I15" s="72"/>
      <c r="J15" s="61"/>
      <c r="K15" s="61"/>
      <c r="L15" s="61"/>
      <c r="M15" s="61"/>
      <c r="N15" s="72"/>
      <c r="O15" s="68"/>
      <c r="P15" s="73"/>
    </row>
    <row r="16" spans="1:21" s="65" customFormat="1" ht="18" customHeight="1" x14ac:dyDescent="0.15">
      <c r="C16" s="22" t="s">
        <v>112</v>
      </c>
      <c r="D16" s="14" t="str">
        <f>IF(D10="","K=aH+b",ROUNDDOWN(D13*D10+D15,3))</f>
        <v>K=aH+b</v>
      </c>
      <c r="E16" s="14"/>
      <c r="G16" s="21"/>
      <c r="H16" s="21"/>
      <c r="I16" s="67"/>
      <c r="J16" s="61"/>
      <c r="K16" s="61"/>
      <c r="L16" s="61"/>
      <c r="M16" s="61"/>
      <c r="N16" s="67"/>
      <c r="O16" s="68"/>
      <c r="P16" s="73"/>
    </row>
    <row r="17" spans="1:23" s="65" customFormat="1" ht="18" customHeight="1" x14ac:dyDescent="0.15">
      <c r="C17" s="29"/>
      <c r="D17" s="29"/>
      <c r="E17" s="74"/>
      <c r="G17" s="20" t="s">
        <v>113</v>
      </c>
      <c r="H17" s="20"/>
      <c r="I17" s="67"/>
      <c r="J17" s="67"/>
      <c r="K17" s="67"/>
      <c r="L17" s="67"/>
      <c r="M17" s="67"/>
      <c r="N17" s="67"/>
      <c r="O17" s="68"/>
      <c r="P17" s="73"/>
      <c r="Q17" s="73"/>
    </row>
    <row r="18" spans="1:23" s="21" customFormat="1" ht="18" customHeight="1" x14ac:dyDescent="0.15">
      <c r="C18" s="44" t="s">
        <v>114</v>
      </c>
      <c r="D18" s="29"/>
      <c r="E18" s="74"/>
      <c r="G18" s="54" t="s">
        <v>115</v>
      </c>
      <c r="I18" s="61"/>
      <c r="J18" s="61"/>
      <c r="K18" s="61"/>
      <c r="L18" s="61"/>
      <c r="M18" s="61"/>
      <c r="N18" s="61"/>
    </row>
    <row r="19" spans="1:23" s="21" customFormat="1" ht="18" customHeight="1" x14ac:dyDescent="0.15">
      <c r="C19" s="29"/>
      <c r="D19" s="29"/>
      <c r="E19" s="74"/>
      <c r="I19" s="75"/>
      <c r="J19" s="76"/>
      <c r="K19" s="77"/>
      <c r="L19" s="77" t="s">
        <v>116</v>
      </c>
      <c r="M19" s="76"/>
      <c r="N19" s="78"/>
      <c r="O19" s="21">
        <v>50</v>
      </c>
    </row>
    <row r="20" spans="1:23" ht="18" customHeight="1" x14ac:dyDescent="0.15">
      <c r="L20" s="20" t="s">
        <v>117</v>
      </c>
    </row>
    <row r="21" spans="1:23" ht="18" customHeight="1" x14ac:dyDescent="0.15">
      <c r="A21" s="21">
        <v>2</v>
      </c>
      <c r="B21" s="35" t="s">
        <v>41</v>
      </c>
      <c r="C21" s="35"/>
      <c r="D21" s="35"/>
      <c r="E21" s="35"/>
      <c r="F21" s="35"/>
      <c r="I21" s="20" t="s">
        <v>118</v>
      </c>
    </row>
    <row r="22" spans="1:23" ht="18" customHeight="1" x14ac:dyDescent="0.15">
      <c r="B22" s="35"/>
      <c r="C22" s="35" t="s">
        <v>119</v>
      </c>
      <c r="D22" s="35"/>
      <c r="E22" s="35"/>
      <c r="F22" s="35"/>
    </row>
    <row r="23" spans="1:23" ht="18" customHeight="1" x14ac:dyDescent="0.15">
      <c r="B23" s="35"/>
      <c r="C23" s="35"/>
      <c r="D23" s="35" t="s">
        <v>45</v>
      </c>
      <c r="E23" s="35"/>
      <c r="F23"/>
    </row>
    <row r="24" spans="1:23" ht="18" customHeight="1" x14ac:dyDescent="0.15">
      <c r="B24" s="35"/>
      <c r="C24" s="35"/>
      <c r="D24" s="35" t="s">
        <v>120</v>
      </c>
      <c r="E24" s="35"/>
      <c r="F24"/>
      <c r="I24" s="21" t="s">
        <v>121</v>
      </c>
      <c r="J24" s="21"/>
      <c r="K24" s="79" t="str">
        <f>IF(D16="","",D16)</f>
        <v>K=aH+b</v>
      </c>
    </row>
    <row r="25" spans="1:23" ht="18" customHeight="1" x14ac:dyDescent="0.15">
      <c r="B25" s="35"/>
      <c r="C25" s="35"/>
      <c r="D25" s="35" t="s">
        <v>47</v>
      </c>
      <c r="E25" s="35"/>
      <c r="F25"/>
      <c r="I25" s="21" t="s">
        <v>121</v>
      </c>
      <c r="K25" s="79">
        <f>浸透施設設計!F3</f>
        <v>0.1</v>
      </c>
    </row>
    <row r="26" spans="1:23" ht="18" customHeight="1" x14ac:dyDescent="0.15">
      <c r="B26" s="35"/>
      <c r="C26" s="35"/>
      <c r="D26" s="35"/>
      <c r="E26" s="35"/>
      <c r="F26"/>
      <c r="I26" s="21"/>
      <c r="K26" s="79"/>
    </row>
    <row r="27" spans="1:23" ht="18" customHeight="1" x14ac:dyDescent="0.15">
      <c r="C27" s="35" t="s">
        <v>122</v>
      </c>
      <c r="D27" s="80" t="e">
        <f>IF(K24="","",ROUNDDOWN(K24*K25,3))</f>
        <v>#VALUE!</v>
      </c>
      <c r="E27" s="20" t="s">
        <v>123</v>
      </c>
      <c r="F27"/>
    </row>
    <row r="29" spans="1:23" ht="18" customHeight="1" x14ac:dyDescent="0.15">
      <c r="A29" s="21">
        <v>3</v>
      </c>
      <c r="B29" s="35" t="s">
        <v>48</v>
      </c>
      <c r="C29" s="35"/>
      <c r="D29" s="35"/>
      <c r="E29" s="35"/>
      <c r="F29" s="35"/>
    </row>
    <row r="30" spans="1:23" ht="18" customHeight="1" x14ac:dyDescent="0.15">
      <c r="B30" s="35"/>
      <c r="C30" s="35" t="s">
        <v>124</v>
      </c>
      <c r="D30" s="35"/>
      <c r="E30" s="35"/>
      <c r="F30"/>
      <c r="S30" s="14" t="s">
        <v>125</v>
      </c>
      <c r="T30" s="14"/>
      <c r="U30" s="14"/>
      <c r="V30" s="14"/>
      <c r="W30" s="22" t="s">
        <v>126</v>
      </c>
    </row>
    <row r="31" spans="1:23" ht="18" customHeight="1" x14ac:dyDescent="0.15">
      <c r="B31" s="35"/>
      <c r="C31" s="35"/>
      <c r="D31" s="35" t="s">
        <v>51</v>
      </c>
      <c r="E31" s="35"/>
      <c r="F31"/>
      <c r="S31" s="81" t="s">
        <v>127</v>
      </c>
      <c r="T31" s="82"/>
      <c r="U31" s="82"/>
      <c r="V31" s="83"/>
      <c r="W31" s="22">
        <v>35</v>
      </c>
    </row>
    <row r="32" spans="1:23" ht="18" customHeight="1" x14ac:dyDescent="0.15">
      <c r="B32" s="35"/>
      <c r="C32" s="35"/>
      <c r="D32" s="35" t="s">
        <v>53</v>
      </c>
      <c r="E32" s="35"/>
      <c r="F32" s="21" t="s">
        <v>121</v>
      </c>
      <c r="G32" s="84">
        <v>35</v>
      </c>
      <c r="H32" s="84" t="s">
        <v>128</v>
      </c>
      <c r="S32" s="81" t="s">
        <v>129</v>
      </c>
      <c r="T32" s="82"/>
      <c r="U32" s="82"/>
      <c r="V32" s="83"/>
      <c r="W32" s="22">
        <v>10</v>
      </c>
    </row>
    <row r="33" spans="1:23" s="70" customFormat="1" ht="27" customHeight="1" x14ac:dyDescent="0.15">
      <c r="C33" s="85" t="s">
        <v>130</v>
      </c>
      <c r="D33" s="85" t="s">
        <v>131</v>
      </c>
      <c r="E33" s="86" t="s">
        <v>132</v>
      </c>
      <c r="F33" s="11" t="s">
        <v>133</v>
      </c>
      <c r="G33" s="11"/>
      <c r="H33" s="11" t="s">
        <v>134</v>
      </c>
      <c r="I33" s="11"/>
      <c r="J33" s="10" t="s">
        <v>135</v>
      </c>
      <c r="K33" s="10"/>
      <c r="L33" s="87" t="s">
        <v>136</v>
      </c>
      <c r="M33" s="9" t="s">
        <v>137</v>
      </c>
      <c r="N33" s="9"/>
      <c r="O33" s="9"/>
      <c r="S33" s="81" t="s">
        <v>138</v>
      </c>
      <c r="T33" s="89"/>
      <c r="U33" s="89"/>
      <c r="V33" s="90"/>
      <c r="W33" s="88" t="s">
        <v>139</v>
      </c>
    </row>
    <row r="34" spans="1:23" s="21" customFormat="1" ht="18" customHeight="1" x14ac:dyDescent="0.15">
      <c r="C34" s="91" t="str">
        <f>IF(L4="","",L4/1000)</f>
        <v/>
      </c>
      <c r="D34" s="91" t="str">
        <f>IF(P14="","",P14/1000)</f>
        <v/>
      </c>
      <c r="E34" s="91" t="str">
        <f>IF(L5="","",L5/1000)</f>
        <v/>
      </c>
      <c r="F34" s="8" t="str">
        <f>IF(L6="","",L6/1000)</f>
        <v/>
      </c>
      <c r="G34" s="8"/>
      <c r="H34" s="8" t="str">
        <f>IF(C34="","",C34*D34)</f>
        <v/>
      </c>
      <c r="I34" s="8"/>
      <c r="J34" s="7" t="str">
        <f>IF(E34="","",E34^2*PI()/4)</f>
        <v/>
      </c>
      <c r="K34" s="7"/>
      <c r="L34" s="92" t="str">
        <f>IF(F34="","",F34^2*PI()/4)</f>
        <v/>
      </c>
      <c r="M34" s="6" t="str">
        <f>IF(C34="","",ROUNDDOWN((H34-J34)*G32/100+L34,3))</f>
        <v/>
      </c>
      <c r="N34" s="6"/>
      <c r="O34" s="6"/>
    </row>
    <row r="36" spans="1:23" ht="18" customHeight="1" x14ac:dyDescent="0.15">
      <c r="A36" s="21">
        <v>4</v>
      </c>
      <c r="B36" s="35" t="s">
        <v>54</v>
      </c>
      <c r="C36" s="35"/>
      <c r="D36" s="35"/>
    </row>
    <row r="37" spans="1:23" ht="18" customHeight="1" x14ac:dyDescent="0.15">
      <c r="B37" s="35"/>
      <c r="C37" s="35" t="s">
        <v>140</v>
      </c>
      <c r="D37" s="35"/>
    </row>
    <row r="38" spans="1:23" ht="18" customHeight="1" x14ac:dyDescent="0.15">
      <c r="B38" s="35"/>
      <c r="C38" s="94" t="s">
        <v>121</v>
      </c>
      <c r="D38" s="95" t="str">
        <f>IF(C34="","",D27)</f>
        <v/>
      </c>
      <c r="E38" s="21" t="s">
        <v>141</v>
      </c>
      <c r="F38" s="5" t="str">
        <f>IF(C34="","",M34)</f>
        <v/>
      </c>
      <c r="G38" s="5"/>
    </row>
    <row r="39" spans="1:23" ht="18" customHeight="1" x14ac:dyDescent="0.15">
      <c r="B39" s="35"/>
      <c r="C39" s="94" t="s">
        <v>121</v>
      </c>
      <c r="D39" s="95" t="str">
        <f>IF(C34="","",D38+F38)</f>
        <v/>
      </c>
      <c r="E39" s="20" t="s">
        <v>142</v>
      </c>
    </row>
  </sheetData>
  <mergeCells count="22">
    <mergeCell ref="F34:G34"/>
    <mergeCell ref="H34:I34"/>
    <mergeCell ref="J34:K34"/>
    <mergeCell ref="M34:O34"/>
    <mergeCell ref="F38:G38"/>
    <mergeCell ref="D15:E15"/>
    <mergeCell ref="D16:E16"/>
    <mergeCell ref="S30:V30"/>
    <mergeCell ref="F33:G33"/>
    <mergeCell ref="H33:I33"/>
    <mergeCell ref="J33:K33"/>
    <mergeCell ref="M33:O33"/>
    <mergeCell ref="D10:E10"/>
    <mergeCell ref="D11:E11"/>
    <mergeCell ref="D12:E12"/>
    <mergeCell ref="D13:E13"/>
    <mergeCell ref="D14:E14"/>
    <mergeCell ref="D5:E5"/>
    <mergeCell ref="D6:E6"/>
    <mergeCell ref="D7:E7"/>
    <mergeCell ref="D8:E8"/>
    <mergeCell ref="D9:E9"/>
  </mergeCells>
  <phoneticPr fontId="7"/>
  <pageMargins left="0.55000000000000004" right="0.37013888888888902" top="1.3798611111111101" bottom="0.68958333333333299" header="0.51180555555555496" footer="0.32986111111111099"/>
  <pageSetup paperSize="9" firstPageNumber="0" orientation="portrait" horizontalDpi="300" verticalDpi="300"/>
  <headerFooter>
    <oddFooter>&amp;C浸透計算 - &amp;P -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9"/>
  <sheetViews>
    <sheetView topLeftCell="A19" zoomScaleNormal="100" zoomScalePageLayoutView="60" workbookViewId="0"/>
  </sheetViews>
  <sheetFormatPr defaultRowHeight="13.5" x14ac:dyDescent="0.15"/>
  <cols>
    <col min="1" max="2" width="4.625" style="20" customWidth="1"/>
    <col min="3" max="3" width="8.875" style="21" customWidth="1"/>
    <col min="4" max="5" width="7.625" style="20" customWidth="1"/>
    <col min="6" max="6" width="4.625" style="20" customWidth="1"/>
    <col min="7" max="7" width="5.875" style="20" customWidth="1"/>
    <col min="8" max="8" width="4.5" style="20" customWidth="1"/>
    <col min="9" max="9" width="4.625" style="20" customWidth="1"/>
    <col min="10" max="10" width="2.625" style="20" customWidth="1"/>
    <col min="11" max="11" width="7.25" style="20" customWidth="1"/>
    <col min="12" max="12" width="11.75" style="20" customWidth="1"/>
    <col min="13" max="13" width="2.625" style="20" customWidth="1"/>
    <col min="14" max="14" width="4.625" style="20" customWidth="1"/>
    <col min="15" max="15" width="5.125" style="20" customWidth="1"/>
    <col min="16" max="16" width="8.375" style="20" customWidth="1"/>
    <col min="17" max="18" width="4.625" style="20" customWidth="1"/>
    <col min="19" max="19" width="6.75" style="20" customWidth="1"/>
    <col min="20" max="22" width="4.625" style="20" customWidth="1"/>
    <col min="23" max="23" width="14.625" style="20" customWidth="1"/>
    <col min="24" max="257" width="9" style="20" customWidth="1"/>
    <col min="258" max="1025" width="9" customWidth="1"/>
  </cols>
  <sheetData>
    <row r="1" spans="1:21" ht="18" customHeight="1" x14ac:dyDescent="0.15">
      <c r="A1" s="20" t="s">
        <v>143</v>
      </c>
    </row>
    <row r="2" spans="1:21" ht="18" customHeight="1" x14ac:dyDescent="0.15">
      <c r="A2" s="21">
        <v>1</v>
      </c>
      <c r="B2" s="20" t="s">
        <v>77</v>
      </c>
    </row>
    <row r="3" spans="1:21" ht="18" customHeight="1" x14ac:dyDescent="0.15">
      <c r="A3" s="21"/>
      <c r="C3" s="29"/>
      <c r="D3" s="29"/>
      <c r="E3" s="29"/>
      <c r="L3" s="20" t="s">
        <v>78</v>
      </c>
    </row>
    <row r="4" spans="1:21" ht="18" customHeight="1" x14ac:dyDescent="0.15">
      <c r="C4" s="29"/>
      <c r="D4" s="29"/>
      <c r="E4" s="29"/>
      <c r="I4"/>
      <c r="K4" s="20" t="s">
        <v>79</v>
      </c>
      <c r="L4" s="52"/>
      <c r="M4" s="21"/>
      <c r="S4" s="22" t="s">
        <v>80</v>
      </c>
      <c r="T4" s="22" t="s">
        <v>81</v>
      </c>
      <c r="U4" s="22" t="s">
        <v>82</v>
      </c>
    </row>
    <row r="5" spans="1:21" s="21" customFormat="1" ht="18" customHeight="1" x14ac:dyDescent="0.15">
      <c r="C5" s="22" t="s">
        <v>83</v>
      </c>
      <c r="D5" s="14" t="s">
        <v>70</v>
      </c>
      <c r="E5" s="14"/>
      <c r="I5" s="29"/>
      <c r="J5" s="44" t="s">
        <v>144</v>
      </c>
      <c r="K5"/>
      <c r="L5" s="53"/>
      <c r="M5" s="29"/>
      <c r="N5" s="29"/>
      <c r="S5" s="22" t="s">
        <v>86</v>
      </c>
      <c r="T5" s="22">
        <v>75</v>
      </c>
      <c r="U5" s="22">
        <v>89</v>
      </c>
    </row>
    <row r="6" spans="1:21" s="21" customFormat="1" ht="18" customHeight="1" x14ac:dyDescent="0.15">
      <c r="C6" s="22" t="s">
        <v>87</v>
      </c>
      <c r="D6" s="14" t="s">
        <v>88</v>
      </c>
      <c r="E6" s="14"/>
      <c r="I6" s="29"/>
      <c r="J6" s="44" t="s">
        <v>145</v>
      </c>
      <c r="K6"/>
      <c r="L6" s="53"/>
      <c r="M6" s="29"/>
      <c r="N6" s="29"/>
      <c r="S6" s="22" t="s">
        <v>90</v>
      </c>
      <c r="T6" s="22">
        <v>100</v>
      </c>
      <c r="U6" s="22">
        <v>114</v>
      </c>
    </row>
    <row r="7" spans="1:21" s="21" customFormat="1" ht="18" customHeight="1" x14ac:dyDescent="0.15">
      <c r="C7" s="22" t="s">
        <v>91</v>
      </c>
      <c r="D7" s="14" t="s">
        <v>92</v>
      </c>
      <c r="E7" s="14"/>
      <c r="I7" s="29"/>
      <c r="J7" s="29"/>
      <c r="K7" s="29"/>
      <c r="L7" s="29"/>
      <c r="M7" s="29"/>
      <c r="N7" s="29"/>
      <c r="S7" s="22" t="s">
        <v>93</v>
      </c>
      <c r="T7" s="22">
        <v>125</v>
      </c>
      <c r="U7" s="22">
        <v>140</v>
      </c>
    </row>
    <row r="8" spans="1:21" s="21" customFormat="1" ht="18" customHeight="1" x14ac:dyDescent="0.15">
      <c r="C8" s="22" t="s">
        <v>94</v>
      </c>
      <c r="D8" s="14" t="s">
        <v>95</v>
      </c>
      <c r="E8" s="14"/>
      <c r="G8" s="54" t="s">
        <v>96</v>
      </c>
      <c r="I8" s="55"/>
      <c r="J8" s="96"/>
      <c r="K8" s="97"/>
      <c r="L8" s="97"/>
      <c r="M8" s="98"/>
      <c r="N8" s="57"/>
      <c r="S8" s="22" t="s">
        <v>97</v>
      </c>
      <c r="T8" s="22">
        <v>150</v>
      </c>
      <c r="U8" s="22">
        <v>165</v>
      </c>
    </row>
    <row r="9" spans="1:21" s="21" customFormat="1" ht="18" customHeight="1" x14ac:dyDescent="0.15">
      <c r="C9" s="22" t="s">
        <v>98</v>
      </c>
      <c r="D9" s="14" t="s">
        <v>99</v>
      </c>
      <c r="E9" s="14"/>
      <c r="I9" s="58"/>
      <c r="J9" s="99"/>
      <c r="K9" s="100"/>
      <c r="L9" s="100"/>
      <c r="M9" s="99"/>
      <c r="N9" s="60"/>
      <c r="S9" s="22" t="s">
        <v>100</v>
      </c>
      <c r="T9" s="22">
        <v>200</v>
      </c>
      <c r="U9" s="22">
        <v>216</v>
      </c>
    </row>
    <row r="10" spans="1:21" s="21" customFormat="1" ht="18" customHeight="1" x14ac:dyDescent="0.15">
      <c r="C10" s="22" t="s">
        <v>101</v>
      </c>
      <c r="D10" s="14" t="str">
        <f>IF(P18="","",P18/1000)</f>
        <v/>
      </c>
      <c r="E10" s="14"/>
      <c r="I10" s="61"/>
      <c r="J10" s="101"/>
      <c r="K10" s="100"/>
      <c r="L10" s="100"/>
      <c r="M10" s="101"/>
      <c r="N10" s="61"/>
      <c r="S10" s="22" t="s">
        <v>102</v>
      </c>
      <c r="T10" s="22">
        <v>250</v>
      </c>
      <c r="U10" s="22">
        <v>267</v>
      </c>
    </row>
    <row r="11" spans="1:21" s="21" customFormat="1" ht="18" customHeight="1" x14ac:dyDescent="0.15">
      <c r="C11" s="22" t="s">
        <v>103</v>
      </c>
      <c r="D11" s="14" t="str">
        <f>IF(L4="","",L4/1000)</f>
        <v/>
      </c>
      <c r="E11" s="14"/>
      <c r="I11" s="61"/>
      <c r="J11" s="101"/>
      <c r="K11" s="100"/>
      <c r="L11" s="100"/>
      <c r="M11" s="101"/>
      <c r="N11" s="61"/>
      <c r="S11" s="22" t="s">
        <v>104</v>
      </c>
      <c r="T11" s="22">
        <v>300</v>
      </c>
      <c r="U11" s="22">
        <v>318</v>
      </c>
    </row>
    <row r="12" spans="1:21" ht="18" customHeight="1" x14ac:dyDescent="0.15">
      <c r="C12" s="22" t="s">
        <v>105</v>
      </c>
      <c r="D12" s="14" t="s">
        <v>71</v>
      </c>
      <c r="E12" s="14"/>
      <c r="G12" s="20" t="s">
        <v>106</v>
      </c>
      <c r="I12" s="62"/>
      <c r="J12" s="101"/>
      <c r="K12" s="100"/>
      <c r="L12" s="100"/>
      <c r="M12" s="101"/>
      <c r="N12" s="62"/>
      <c r="O12" s="68" t="s">
        <v>146</v>
      </c>
      <c r="P12" s="21"/>
    </row>
    <row r="13" spans="1:21" ht="18" customHeight="1" x14ac:dyDescent="0.15">
      <c r="C13" s="63" t="s">
        <v>107</v>
      </c>
      <c r="D13" s="13">
        <v>3.093</v>
      </c>
      <c r="E13" s="13"/>
      <c r="I13" s="62"/>
      <c r="J13" s="101"/>
      <c r="K13" s="100"/>
      <c r="L13" s="100"/>
      <c r="M13" s="101"/>
      <c r="N13" s="62"/>
      <c r="O13" s="102"/>
      <c r="P13" s="103"/>
    </row>
    <row r="14" spans="1:21" s="65" customFormat="1" ht="18" customHeight="1" x14ac:dyDescent="0.15">
      <c r="C14" s="63" t="s">
        <v>108</v>
      </c>
      <c r="D14" s="12" t="s">
        <v>109</v>
      </c>
      <c r="E14" s="12"/>
      <c r="G14" s="54" t="s">
        <v>70</v>
      </c>
      <c r="H14" s="21"/>
      <c r="I14" s="67"/>
      <c r="J14" s="101"/>
      <c r="K14" s="100"/>
      <c r="L14" s="100"/>
      <c r="M14" s="101"/>
      <c r="N14" s="67"/>
      <c r="O14" s="68"/>
      <c r="P14" s="103"/>
    </row>
    <row r="15" spans="1:21" s="70" customFormat="1" ht="18" customHeight="1" x14ac:dyDescent="0.15">
      <c r="C15" s="71"/>
      <c r="D15" s="13" t="str">
        <f>IF(D11="","",1.34*D11+0.677)</f>
        <v/>
      </c>
      <c r="E15" s="13"/>
      <c r="G15" s="20"/>
      <c r="H15" s="20"/>
      <c r="I15" s="72"/>
      <c r="J15" s="101"/>
      <c r="K15" s="104"/>
      <c r="L15" s="105"/>
      <c r="M15" s="100"/>
      <c r="N15" s="106"/>
      <c r="O15" s="68"/>
      <c r="P15" s="73"/>
    </row>
    <row r="16" spans="1:21" s="65" customFormat="1" ht="18" customHeight="1" x14ac:dyDescent="0.15">
      <c r="C16" s="22" t="s">
        <v>112</v>
      </c>
      <c r="D16" s="14" t="str">
        <f>IF(D10="","K=aH+b",ROUNDDOWN(D13*D10+D15,3))</f>
        <v>K=aH+b</v>
      </c>
      <c r="E16" s="14"/>
      <c r="G16" s="21"/>
      <c r="H16" s="21"/>
      <c r="I16" s="67"/>
      <c r="J16" s="104"/>
      <c r="K16" s="107"/>
      <c r="L16" s="107"/>
      <c r="M16" s="105"/>
      <c r="N16" s="67"/>
      <c r="O16" s="68" t="s">
        <v>147</v>
      </c>
      <c r="P16" s="69"/>
    </row>
    <row r="17" spans="1:23" s="65" customFormat="1" ht="18" customHeight="1" x14ac:dyDescent="0.15">
      <c r="C17" s="29"/>
      <c r="D17" s="29"/>
      <c r="E17" s="74"/>
      <c r="G17" s="20" t="s">
        <v>113</v>
      </c>
      <c r="H17" s="20"/>
      <c r="I17" s="67"/>
      <c r="J17" s="67"/>
      <c r="K17" s="67"/>
      <c r="L17" s="67"/>
      <c r="M17" s="67"/>
      <c r="N17" s="67"/>
      <c r="O17" s="68"/>
      <c r="P17" s="73"/>
      <c r="Q17" s="73"/>
    </row>
    <row r="18" spans="1:23" s="21" customFormat="1" ht="18" customHeight="1" x14ac:dyDescent="0.15">
      <c r="C18" s="44" t="s">
        <v>114</v>
      </c>
      <c r="D18" s="29"/>
      <c r="E18" s="74"/>
      <c r="G18" s="54" t="s">
        <v>115</v>
      </c>
      <c r="I18" s="61"/>
      <c r="J18" s="61"/>
      <c r="K18" s="61"/>
      <c r="L18" s="61"/>
      <c r="M18" s="61"/>
      <c r="N18" s="61"/>
      <c r="O18" s="68" t="s">
        <v>111</v>
      </c>
      <c r="P18" s="108"/>
    </row>
    <row r="19" spans="1:23" s="21" customFormat="1" ht="18" customHeight="1" x14ac:dyDescent="0.15">
      <c r="C19" s="29"/>
      <c r="D19" s="29"/>
      <c r="E19" s="74"/>
      <c r="I19" s="75"/>
      <c r="J19" s="76"/>
      <c r="K19" s="77"/>
      <c r="L19" s="77" t="s">
        <v>116</v>
      </c>
      <c r="M19" s="76"/>
      <c r="N19" s="78"/>
      <c r="O19" s="21">
        <v>50</v>
      </c>
    </row>
    <row r="20" spans="1:23" ht="18" customHeight="1" x14ac:dyDescent="0.15">
      <c r="L20" s="20" t="s">
        <v>117</v>
      </c>
    </row>
    <row r="21" spans="1:23" ht="18" customHeight="1" x14ac:dyDescent="0.15">
      <c r="A21" s="21">
        <v>2</v>
      </c>
      <c r="B21" s="35" t="s">
        <v>41</v>
      </c>
      <c r="C21" s="35"/>
      <c r="D21" s="35"/>
      <c r="E21" s="35"/>
      <c r="F21" s="35"/>
      <c r="I21" s="20" t="s">
        <v>118</v>
      </c>
    </row>
    <row r="22" spans="1:23" ht="18" customHeight="1" x14ac:dyDescent="0.15">
      <c r="B22" s="35"/>
      <c r="C22" s="35" t="s">
        <v>119</v>
      </c>
      <c r="D22" s="35"/>
      <c r="E22" s="35"/>
      <c r="F22" s="35"/>
    </row>
    <row r="23" spans="1:23" ht="18" customHeight="1" x14ac:dyDescent="0.15">
      <c r="B23" s="35"/>
      <c r="C23" s="35"/>
      <c r="D23" s="35" t="s">
        <v>45</v>
      </c>
      <c r="E23" s="35"/>
      <c r="F23"/>
    </row>
    <row r="24" spans="1:23" ht="18" customHeight="1" x14ac:dyDescent="0.15">
      <c r="B24" s="35"/>
      <c r="C24" s="35"/>
      <c r="D24" s="35" t="s">
        <v>120</v>
      </c>
      <c r="E24" s="35"/>
      <c r="F24"/>
      <c r="I24" s="21" t="s">
        <v>121</v>
      </c>
      <c r="J24" s="21"/>
      <c r="K24" s="79" t="str">
        <f>IF(D16="","",D16)</f>
        <v>K=aH+b</v>
      </c>
      <c r="L24" s="79" t="s">
        <v>148</v>
      </c>
      <c r="M24" s="4" t="e">
        <f>D13*D34+D15</f>
        <v>#VALUE!</v>
      </c>
      <c r="N24" s="4"/>
      <c r="O24" s="4"/>
    </row>
    <row r="25" spans="1:23" ht="18" customHeight="1" x14ac:dyDescent="0.15">
      <c r="B25" s="35"/>
      <c r="C25" s="35"/>
      <c r="D25" s="35" t="s">
        <v>47</v>
      </c>
      <c r="E25" s="35"/>
      <c r="F25"/>
      <c r="I25" s="21" t="s">
        <v>121</v>
      </c>
      <c r="K25" s="79">
        <f>浸透施設設計!F3</f>
        <v>0.1</v>
      </c>
    </row>
    <row r="26" spans="1:23" ht="18" customHeight="1" x14ac:dyDescent="0.15">
      <c r="B26" s="35"/>
      <c r="C26" s="35"/>
      <c r="D26" s="35"/>
      <c r="E26" s="35"/>
      <c r="F26"/>
      <c r="I26" s="21"/>
      <c r="K26" s="79"/>
    </row>
    <row r="27" spans="1:23" ht="18" customHeight="1" x14ac:dyDescent="0.15">
      <c r="C27" s="35" t="s">
        <v>122</v>
      </c>
      <c r="D27" s="80" t="e">
        <f>IF(K24="","",ROUNDDOWN(M24*K25,3))</f>
        <v>#VALUE!</v>
      </c>
      <c r="E27" s="20" t="s">
        <v>123</v>
      </c>
      <c r="F27"/>
    </row>
    <row r="29" spans="1:23" ht="18" customHeight="1" x14ac:dyDescent="0.15">
      <c r="A29" s="21">
        <v>3</v>
      </c>
      <c r="B29" s="35" t="s">
        <v>48</v>
      </c>
      <c r="C29" s="35"/>
      <c r="D29" s="35"/>
      <c r="E29" s="35"/>
      <c r="F29" s="35"/>
    </row>
    <row r="30" spans="1:23" ht="18" customHeight="1" x14ac:dyDescent="0.15">
      <c r="B30" s="35"/>
      <c r="C30" s="35" t="s">
        <v>149</v>
      </c>
      <c r="D30" s="35"/>
      <c r="E30" s="35"/>
      <c r="F30"/>
      <c r="S30" s="14" t="s">
        <v>125</v>
      </c>
      <c r="T30" s="14"/>
      <c r="U30" s="14"/>
      <c r="V30" s="14"/>
      <c r="W30" s="22" t="s">
        <v>126</v>
      </c>
    </row>
    <row r="31" spans="1:23" ht="18" customHeight="1" x14ac:dyDescent="0.15">
      <c r="B31" s="35"/>
      <c r="C31" s="35"/>
      <c r="D31" s="35" t="s">
        <v>51</v>
      </c>
      <c r="E31" s="35"/>
      <c r="F31"/>
      <c r="S31" s="81" t="s">
        <v>127</v>
      </c>
      <c r="T31" s="82"/>
      <c r="U31" s="82"/>
      <c r="V31" s="83"/>
      <c r="W31" s="22">
        <v>35</v>
      </c>
    </row>
    <row r="32" spans="1:23" ht="18" customHeight="1" x14ac:dyDescent="0.15">
      <c r="B32" s="35"/>
      <c r="C32" s="35"/>
      <c r="D32" s="35" t="s">
        <v>53</v>
      </c>
      <c r="E32" s="35"/>
      <c r="F32" s="21" t="s">
        <v>121</v>
      </c>
      <c r="G32" s="84">
        <v>35</v>
      </c>
      <c r="H32" s="84" t="s">
        <v>128</v>
      </c>
      <c r="S32" s="81" t="s">
        <v>129</v>
      </c>
      <c r="T32" s="82"/>
      <c r="U32" s="82"/>
      <c r="V32" s="83"/>
      <c r="W32" s="22">
        <v>10</v>
      </c>
    </row>
    <row r="33" spans="1:23" s="70" customFormat="1" ht="27" customHeight="1" x14ac:dyDescent="0.15">
      <c r="C33" s="85" t="s">
        <v>130</v>
      </c>
      <c r="D33" s="85" t="s">
        <v>131</v>
      </c>
      <c r="E33" s="86" t="s">
        <v>150</v>
      </c>
      <c r="F33" s="11" t="s">
        <v>151</v>
      </c>
      <c r="G33" s="11"/>
      <c r="H33" s="88" t="s">
        <v>152</v>
      </c>
      <c r="I33" s="88" t="s">
        <v>153</v>
      </c>
      <c r="J33" s="11" t="s">
        <v>134</v>
      </c>
      <c r="K33" s="11"/>
      <c r="L33" s="85" t="s">
        <v>154</v>
      </c>
      <c r="M33" s="9" t="s">
        <v>155</v>
      </c>
      <c r="N33" s="9"/>
      <c r="O33" s="9"/>
      <c r="P33" s="88" t="s">
        <v>137</v>
      </c>
      <c r="S33" s="81" t="s">
        <v>138</v>
      </c>
      <c r="T33" s="89"/>
      <c r="U33" s="89"/>
      <c r="V33" s="90"/>
      <c r="W33" s="88" t="s">
        <v>139</v>
      </c>
    </row>
    <row r="34" spans="1:23" s="21" customFormat="1" ht="18" customHeight="1" x14ac:dyDescent="0.15">
      <c r="C34" s="91" t="str">
        <f>IF(L4="","",L4/1000)</f>
        <v/>
      </c>
      <c r="D34" s="91" t="str">
        <f>IF(P18="","",P18/1000)</f>
        <v/>
      </c>
      <c r="E34" s="91" t="str">
        <f>IF(L5="","",L5/1000)</f>
        <v/>
      </c>
      <c r="F34" s="3" t="str">
        <f>IF(L6="","",L6/1000)</f>
        <v/>
      </c>
      <c r="G34" s="3"/>
      <c r="H34" s="39" t="str">
        <f>IF(P16="","",P16/1000)</f>
        <v/>
      </c>
      <c r="I34" s="39" t="str">
        <f>IF(O13="","",O13/1000)</f>
        <v/>
      </c>
      <c r="J34" s="7" t="str">
        <f>IF(C34="","",C34*D34)</f>
        <v/>
      </c>
      <c r="K34" s="7"/>
      <c r="L34" s="92" t="str">
        <f>IF(C34="","",E34*H34)</f>
        <v/>
      </c>
      <c r="M34" s="2" t="str">
        <f>IF(C34="","",F34*I34)</f>
        <v/>
      </c>
      <c r="N34" s="2"/>
      <c r="O34" s="2"/>
      <c r="P34" s="93" t="str">
        <f>IF(F34="","",ROUNDDOWN((J34-L34)*G32/100+M34,3))</f>
        <v/>
      </c>
    </row>
    <row r="36" spans="1:23" ht="18" customHeight="1" x14ac:dyDescent="0.15">
      <c r="A36" s="21">
        <v>4</v>
      </c>
      <c r="B36" s="35" t="s">
        <v>54</v>
      </c>
      <c r="C36" s="35"/>
      <c r="D36" s="35"/>
    </row>
    <row r="37" spans="1:23" ht="18" customHeight="1" x14ac:dyDescent="0.15">
      <c r="B37" s="35"/>
      <c r="C37" s="35" t="s">
        <v>140</v>
      </c>
      <c r="D37" s="35"/>
    </row>
    <row r="38" spans="1:23" ht="18" customHeight="1" x14ac:dyDescent="0.15">
      <c r="B38" s="35"/>
      <c r="C38" s="94" t="s">
        <v>121</v>
      </c>
      <c r="D38" s="95" t="str">
        <f>IF(C34="","",D27)</f>
        <v/>
      </c>
      <c r="E38" s="21" t="s">
        <v>141</v>
      </c>
      <c r="F38" s="5" t="str">
        <f>IF(C34="","",P34)</f>
        <v/>
      </c>
      <c r="G38" s="5"/>
    </row>
    <row r="39" spans="1:23" ht="18" customHeight="1" x14ac:dyDescent="0.15">
      <c r="B39" s="35"/>
      <c r="C39" s="94" t="s">
        <v>121</v>
      </c>
      <c r="D39" s="95" t="str">
        <f>IF(C34="","",D38+F38)</f>
        <v/>
      </c>
      <c r="E39" s="20" t="s">
        <v>142</v>
      </c>
    </row>
  </sheetData>
  <mergeCells count="21">
    <mergeCell ref="F34:G34"/>
    <mergeCell ref="J34:K34"/>
    <mergeCell ref="M34:O34"/>
    <mergeCell ref="F38:G38"/>
    <mergeCell ref="D15:E15"/>
    <mergeCell ref="D16:E16"/>
    <mergeCell ref="M24:O24"/>
    <mergeCell ref="S30:V30"/>
    <mergeCell ref="F33:G33"/>
    <mergeCell ref="J33:K33"/>
    <mergeCell ref="M33:O33"/>
    <mergeCell ref="D10:E10"/>
    <mergeCell ref="D11:E11"/>
    <mergeCell ref="D12:E12"/>
    <mergeCell ref="D13:E13"/>
    <mergeCell ref="D14:E14"/>
    <mergeCell ref="D5:E5"/>
    <mergeCell ref="D6:E6"/>
    <mergeCell ref="D7:E7"/>
    <mergeCell ref="D8:E8"/>
    <mergeCell ref="D9:E9"/>
  </mergeCells>
  <phoneticPr fontId="7"/>
  <pageMargins left="0.55000000000000004" right="0.37013888888888902" top="1.3798611111111101" bottom="0.68958333333333299" header="0.51180555555555496" footer="0.32986111111111099"/>
  <pageSetup paperSize="9" firstPageNumber="0" orientation="portrait" horizontalDpi="300" verticalDpi="300"/>
  <headerFooter>
    <oddFooter>&amp;C浸透計算 - &amp;P -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9"/>
  <sheetViews>
    <sheetView topLeftCell="A16" zoomScaleNormal="100" zoomScalePageLayoutView="60" workbookViewId="0">
      <selection activeCell="F33" sqref="F33:G33"/>
    </sheetView>
  </sheetViews>
  <sheetFormatPr defaultRowHeight="13.5" x14ac:dyDescent="0.15"/>
  <cols>
    <col min="1" max="2" width="4.625" style="20" customWidth="1"/>
    <col min="3" max="3" width="8.875" style="21" customWidth="1"/>
    <col min="4" max="5" width="7.625" style="20" customWidth="1"/>
    <col min="6" max="6" width="4.625" style="20" customWidth="1"/>
    <col min="7" max="7" width="5.875" style="20" customWidth="1"/>
    <col min="8" max="8" width="4.5" style="20" customWidth="1"/>
    <col min="9" max="9" width="4.625" style="20" customWidth="1"/>
    <col min="10" max="10" width="2.625" style="20" customWidth="1"/>
    <col min="11" max="11" width="7.25" style="20" customWidth="1"/>
    <col min="12" max="12" width="11.75" style="20" customWidth="1"/>
    <col min="13" max="13" width="2.625" style="20" customWidth="1"/>
    <col min="14" max="15" width="4.625" style="20" customWidth="1"/>
    <col min="16" max="16" width="7.75" style="20" customWidth="1"/>
    <col min="17" max="18" width="4.625" style="20" customWidth="1"/>
    <col min="19" max="19" width="20.75" style="20" customWidth="1"/>
    <col min="20" max="20" width="14" style="20" customWidth="1"/>
    <col min="21" max="257" width="9" style="20" customWidth="1"/>
    <col min="258" max="1025" width="9" customWidth="1"/>
  </cols>
  <sheetData>
    <row r="1" spans="1:16" ht="18" customHeight="1" x14ac:dyDescent="0.15">
      <c r="A1" s="20" t="s">
        <v>156</v>
      </c>
    </row>
    <row r="2" spans="1:16" ht="18" customHeight="1" x14ac:dyDescent="0.15">
      <c r="A2" s="21">
        <v>1</v>
      </c>
      <c r="B2" s="20" t="s">
        <v>77</v>
      </c>
    </row>
    <row r="3" spans="1:16" ht="18" customHeight="1" x14ac:dyDescent="0.15">
      <c r="A3" s="21"/>
      <c r="C3" s="22" t="s">
        <v>157</v>
      </c>
      <c r="D3" s="14" t="s">
        <v>158</v>
      </c>
      <c r="E3" s="14"/>
      <c r="L3" s="20" t="s">
        <v>78</v>
      </c>
    </row>
    <row r="4" spans="1:16" ht="18" customHeight="1" x14ac:dyDescent="0.15">
      <c r="C4" s="45" t="s">
        <v>159</v>
      </c>
      <c r="D4" s="109"/>
      <c r="E4" s="110"/>
      <c r="I4" s="20" t="s">
        <v>160</v>
      </c>
      <c r="L4" s="52"/>
      <c r="M4" s="21"/>
    </row>
    <row r="5" spans="1:16" s="21" customFormat="1" ht="18" customHeight="1" x14ac:dyDescent="0.15">
      <c r="C5" s="49" t="s">
        <v>83</v>
      </c>
      <c r="D5" s="1" t="s">
        <v>161</v>
      </c>
      <c r="E5" s="1"/>
      <c r="I5" s="29"/>
      <c r="J5" s="44" t="s">
        <v>85</v>
      </c>
      <c r="K5"/>
      <c r="L5" s="53"/>
      <c r="M5" s="29"/>
      <c r="N5" s="29"/>
    </row>
    <row r="6" spans="1:16" s="21" customFormat="1" ht="18" customHeight="1" x14ac:dyDescent="0.15">
      <c r="C6" s="22" t="s">
        <v>87</v>
      </c>
      <c r="D6" s="14" t="s">
        <v>88</v>
      </c>
      <c r="E6" s="14"/>
      <c r="I6" s="29"/>
      <c r="J6" s="44" t="s">
        <v>162</v>
      </c>
      <c r="K6"/>
      <c r="L6" s="53"/>
      <c r="M6" s="29"/>
      <c r="N6" s="29"/>
    </row>
    <row r="7" spans="1:16" s="21" customFormat="1" ht="18" customHeight="1" x14ac:dyDescent="0.15">
      <c r="C7" s="22" t="s">
        <v>91</v>
      </c>
      <c r="D7" s="14" t="s">
        <v>92</v>
      </c>
      <c r="E7" s="14"/>
      <c r="I7" s="29"/>
      <c r="J7" s="29"/>
      <c r="K7" s="29"/>
      <c r="L7" s="29"/>
      <c r="M7" s="29"/>
      <c r="N7" s="29"/>
    </row>
    <row r="8" spans="1:16" s="21" customFormat="1" ht="18" customHeight="1" x14ac:dyDescent="0.15">
      <c r="C8" s="22" t="s">
        <v>94</v>
      </c>
      <c r="D8" s="14" t="s">
        <v>163</v>
      </c>
      <c r="E8" s="14"/>
      <c r="G8" s="54" t="s">
        <v>96</v>
      </c>
      <c r="I8" s="55"/>
      <c r="J8" s="96"/>
      <c r="K8" s="111"/>
      <c r="L8" s="111"/>
      <c r="M8" s="98"/>
      <c r="N8" s="57"/>
    </row>
    <row r="9" spans="1:16" s="21" customFormat="1" ht="18" customHeight="1" x14ac:dyDescent="0.15">
      <c r="C9" s="22" t="s">
        <v>98</v>
      </c>
      <c r="D9" s="14" t="s">
        <v>164</v>
      </c>
      <c r="E9" s="14"/>
      <c r="I9" s="58"/>
      <c r="J9" s="99"/>
      <c r="K9" s="100"/>
      <c r="L9" s="29"/>
      <c r="M9" s="99"/>
      <c r="N9" s="60"/>
    </row>
    <row r="10" spans="1:16" s="21" customFormat="1" ht="18" customHeight="1" x14ac:dyDescent="0.15">
      <c r="C10" s="22" t="s">
        <v>101</v>
      </c>
      <c r="D10" s="14" t="str">
        <f>IF(P17="","",P17/1000)</f>
        <v/>
      </c>
      <c r="E10" s="14"/>
      <c r="I10" s="61"/>
      <c r="J10" s="101"/>
      <c r="K10" s="100"/>
      <c r="L10" s="29"/>
      <c r="M10" s="101"/>
      <c r="N10" s="61"/>
    </row>
    <row r="11" spans="1:16" s="21" customFormat="1" ht="18" customHeight="1" x14ac:dyDescent="0.15">
      <c r="C11" s="22" t="s">
        <v>103</v>
      </c>
      <c r="D11" s="14" t="str">
        <f>IF(L4="","",L4/1000)</f>
        <v/>
      </c>
      <c r="E11" s="14"/>
      <c r="I11" s="61"/>
      <c r="J11" s="101"/>
      <c r="K11" s="100"/>
      <c r="L11" s="29"/>
      <c r="M11" s="101"/>
      <c r="N11" s="61"/>
    </row>
    <row r="12" spans="1:16" ht="18" customHeight="1" x14ac:dyDescent="0.15">
      <c r="C12" s="22" t="s">
        <v>105</v>
      </c>
      <c r="D12" s="14" t="s">
        <v>71</v>
      </c>
      <c r="E12" s="14"/>
      <c r="G12" s="20" t="s">
        <v>106</v>
      </c>
      <c r="I12" s="62"/>
      <c r="J12" s="112"/>
      <c r="K12" s="113"/>
      <c r="L12" s="35"/>
      <c r="M12" s="112"/>
      <c r="N12" s="62"/>
    </row>
    <row r="13" spans="1:16" ht="18" customHeight="1" x14ac:dyDescent="0.15">
      <c r="C13" s="63" t="s">
        <v>107</v>
      </c>
      <c r="D13" s="19" t="s">
        <v>165</v>
      </c>
      <c r="E13" s="19"/>
      <c r="I13" s="62"/>
      <c r="J13" s="112"/>
      <c r="K13" s="113"/>
      <c r="L13" s="35"/>
      <c r="M13" s="112"/>
      <c r="N13" s="62"/>
      <c r="O13" s="79" t="s">
        <v>166</v>
      </c>
      <c r="P13" s="52"/>
    </row>
    <row r="14" spans="1:16" s="65" customFormat="1" ht="18" customHeight="1" x14ac:dyDescent="0.15">
      <c r="C14" s="71"/>
      <c r="D14" s="13" t="str">
        <f>IF(D11="","",0.12*D11+0.985)</f>
        <v/>
      </c>
      <c r="E14" s="13"/>
      <c r="G14" s="54" t="s">
        <v>157</v>
      </c>
      <c r="H14" s="21"/>
      <c r="I14" s="67"/>
      <c r="J14" s="114"/>
      <c r="K14" s="115"/>
      <c r="L14" s="116"/>
      <c r="M14" s="114"/>
      <c r="N14" s="67"/>
    </row>
    <row r="15" spans="1:16" s="70" customFormat="1" ht="18" customHeight="1" x14ac:dyDescent="0.15">
      <c r="C15" s="63" t="s">
        <v>108</v>
      </c>
      <c r="D15" s="12" t="s">
        <v>167</v>
      </c>
      <c r="E15" s="12"/>
      <c r="G15" s="20"/>
      <c r="H15" s="20"/>
      <c r="I15" s="72"/>
      <c r="J15" s="117"/>
      <c r="K15" s="118"/>
      <c r="L15" s="119"/>
      <c r="M15" s="117"/>
      <c r="N15" s="72"/>
    </row>
    <row r="16" spans="1:16" s="65" customFormat="1" ht="18" customHeight="1" x14ac:dyDescent="0.15">
      <c r="C16" s="71"/>
      <c r="D16" s="13" t="str">
        <f>IF(D11="","",7.837*D11+0.82)</f>
        <v/>
      </c>
      <c r="E16" s="13"/>
      <c r="G16" s="21"/>
      <c r="H16" s="21"/>
      <c r="I16" s="67"/>
      <c r="J16" s="120"/>
      <c r="K16" s="121"/>
      <c r="L16" s="122"/>
      <c r="M16" s="120"/>
      <c r="N16" s="67"/>
    </row>
    <row r="17" spans="1:20" s="65" customFormat="1" ht="18" customHeight="1" x14ac:dyDescent="0.15">
      <c r="C17" s="45" t="s">
        <v>168</v>
      </c>
      <c r="D17" s="12" t="s">
        <v>169</v>
      </c>
      <c r="E17" s="12"/>
      <c r="G17" s="20" t="s">
        <v>113</v>
      </c>
      <c r="H17" s="20"/>
      <c r="I17" s="67"/>
      <c r="J17" s="67"/>
      <c r="K17" s="67"/>
      <c r="L17" s="67"/>
      <c r="M17" s="67"/>
      <c r="N17" s="67"/>
      <c r="O17" s="68" t="s">
        <v>111</v>
      </c>
      <c r="P17" s="69"/>
      <c r="Q17" s="73"/>
    </row>
    <row r="18" spans="1:20" s="21" customFormat="1" ht="18" customHeight="1" x14ac:dyDescent="0.15">
      <c r="C18" s="49"/>
      <c r="D18" s="18" t="str">
        <f>IF(D11="","",2.858*D11-0.283)</f>
        <v/>
      </c>
      <c r="E18" s="18"/>
      <c r="G18" s="54"/>
      <c r="I18" s="61"/>
      <c r="J18" s="61"/>
      <c r="K18" s="61"/>
      <c r="L18" s="61"/>
      <c r="M18" s="61"/>
      <c r="N18" s="61"/>
    </row>
    <row r="19" spans="1:20" s="21" customFormat="1" ht="18" customHeight="1" x14ac:dyDescent="0.15">
      <c r="C19" s="22" t="s">
        <v>112</v>
      </c>
      <c r="D19" s="17" t="str">
        <f>IF(D11="","",ROUNDDOWN(D14*D10*D10+D16*D10+D18,3))</f>
        <v/>
      </c>
      <c r="E19" s="17"/>
      <c r="I19" s="75"/>
      <c r="J19" s="76"/>
      <c r="K19" s="77"/>
      <c r="L19" s="77" t="s">
        <v>116</v>
      </c>
      <c r="M19" s="76"/>
      <c r="N19" s="78"/>
      <c r="O19" s="21">
        <v>50</v>
      </c>
    </row>
    <row r="20" spans="1:20" ht="18" customHeight="1" x14ac:dyDescent="0.15">
      <c r="L20" s="20" t="s">
        <v>117</v>
      </c>
    </row>
    <row r="21" spans="1:20" ht="18" customHeight="1" x14ac:dyDescent="0.15">
      <c r="A21" s="21">
        <v>2</v>
      </c>
      <c r="B21" s="35" t="s">
        <v>41</v>
      </c>
      <c r="C21" s="35"/>
      <c r="D21" s="35"/>
      <c r="E21" s="35"/>
      <c r="F21" s="35"/>
      <c r="I21" s="20" t="s">
        <v>118</v>
      </c>
    </row>
    <row r="22" spans="1:20" ht="18" customHeight="1" x14ac:dyDescent="0.15">
      <c r="B22" s="35"/>
      <c r="C22" s="35" t="s">
        <v>119</v>
      </c>
      <c r="D22" s="35"/>
      <c r="E22" s="35"/>
      <c r="F22" s="35"/>
    </row>
    <row r="23" spans="1:20" ht="18" customHeight="1" x14ac:dyDescent="0.15">
      <c r="B23" s="35"/>
      <c r="C23" s="35"/>
      <c r="D23" s="35" t="s">
        <v>45</v>
      </c>
      <c r="E23" s="35"/>
      <c r="F23"/>
    </row>
    <row r="24" spans="1:20" ht="18" customHeight="1" x14ac:dyDescent="0.15">
      <c r="B24" s="35"/>
      <c r="C24" s="35"/>
      <c r="D24" s="35" t="s">
        <v>120</v>
      </c>
      <c r="E24" s="35"/>
      <c r="F24"/>
      <c r="I24" s="21" t="s">
        <v>121</v>
      </c>
      <c r="J24" s="21"/>
      <c r="K24" s="79" t="str">
        <f>IF(D19="","",D19)</f>
        <v/>
      </c>
    </row>
    <row r="25" spans="1:20" ht="18" customHeight="1" x14ac:dyDescent="0.15">
      <c r="B25" s="35"/>
      <c r="C25" s="35"/>
      <c r="D25" s="35" t="s">
        <v>47</v>
      </c>
      <c r="E25" s="35"/>
      <c r="F25"/>
      <c r="I25" s="21" t="s">
        <v>121</v>
      </c>
      <c r="K25" s="79">
        <f>IF(浸透施設設計!F3="","",浸透施設設計!F3)</f>
        <v>0.1</v>
      </c>
    </row>
    <row r="26" spans="1:20" ht="18" customHeight="1" x14ac:dyDescent="0.15">
      <c r="B26" s="35"/>
      <c r="C26" s="35"/>
      <c r="D26" s="35"/>
      <c r="E26" s="35"/>
      <c r="F26"/>
      <c r="I26" s="21"/>
      <c r="K26" s="79"/>
    </row>
    <row r="27" spans="1:20" ht="18" customHeight="1" x14ac:dyDescent="0.15">
      <c r="C27" s="35" t="s">
        <v>122</v>
      </c>
      <c r="D27" s="80" t="str">
        <f>IF(K24="","",ROUNDDOWN(K24*K25,3))</f>
        <v/>
      </c>
      <c r="E27" s="20" t="s">
        <v>123</v>
      </c>
      <c r="F27"/>
    </row>
    <row r="29" spans="1:20" ht="18" customHeight="1" x14ac:dyDescent="0.15">
      <c r="A29" s="21">
        <v>3</v>
      </c>
      <c r="B29" s="35" t="s">
        <v>48</v>
      </c>
      <c r="C29" s="35"/>
      <c r="D29" s="35"/>
      <c r="E29" s="35"/>
      <c r="F29" s="35"/>
    </row>
    <row r="30" spans="1:20" ht="18" customHeight="1" x14ac:dyDescent="0.15">
      <c r="B30" s="35"/>
      <c r="C30" s="35" t="s">
        <v>170</v>
      </c>
      <c r="D30" s="35"/>
      <c r="E30" s="35"/>
      <c r="F30"/>
      <c r="S30" s="124" t="s">
        <v>125</v>
      </c>
      <c r="T30" s="22" t="s">
        <v>126</v>
      </c>
    </row>
    <row r="31" spans="1:20" ht="18" customHeight="1" x14ac:dyDescent="0.15">
      <c r="B31" s="35"/>
      <c r="C31" s="35"/>
      <c r="D31" s="35" t="s">
        <v>51</v>
      </c>
      <c r="E31" s="35"/>
      <c r="F31"/>
      <c r="S31" s="81" t="s">
        <v>127</v>
      </c>
      <c r="T31" s="22">
        <v>35</v>
      </c>
    </row>
    <row r="32" spans="1:20" ht="18" customHeight="1" x14ac:dyDescent="0.15">
      <c r="B32" s="35"/>
      <c r="C32" s="35"/>
      <c r="D32" s="35" t="s">
        <v>53</v>
      </c>
      <c r="E32" s="35"/>
      <c r="F32" s="21" t="s">
        <v>121</v>
      </c>
      <c r="G32" s="84">
        <v>35</v>
      </c>
      <c r="H32" s="84" t="s">
        <v>128</v>
      </c>
      <c r="S32" s="81" t="s">
        <v>129</v>
      </c>
      <c r="T32" s="22">
        <v>10</v>
      </c>
    </row>
    <row r="33" spans="1:20" s="70" customFormat="1" ht="27" customHeight="1" x14ac:dyDescent="0.15">
      <c r="C33" s="85" t="s">
        <v>130</v>
      </c>
      <c r="D33" s="85" t="s">
        <v>131</v>
      </c>
      <c r="E33" s="86" t="s">
        <v>132</v>
      </c>
      <c r="F33" s="11" t="s">
        <v>133</v>
      </c>
      <c r="G33" s="11"/>
      <c r="H33" s="11" t="s">
        <v>171</v>
      </c>
      <c r="I33" s="11"/>
      <c r="J33" s="11" t="s">
        <v>172</v>
      </c>
      <c r="K33" s="11"/>
      <c r="L33" s="87" t="s">
        <v>173</v>
      </c>
      <c r="M33" s="10" t="s">
        <v>174</v>
      </c>
      <c r="N33" s="10"/>
      <c r="O33" s="10"/>
      <c r="P33" s="88" t="s">
        <v>137</v>
      </c>
      <c r="S33" s="81" t="s">
        <v>138</v>
      </c>
      <c r="T33" s="88" t="s">
        <v>139</v>
      </c>
    </row>
    <row r="34" spans="1:20" s="21" customFormat="1" ht="18" customHeight="1" x14ac:dyDescent="0.15">
      <c r="C34" s="91" t="str">
        <f>IF(L4="","",L4/1000)</f>
        <v/>
      </c>
      <c r="D34" s="91" t="str">
        <f>IF(P17="","",P17/1000)</f>
        <v/>
      </c>
      <c r="E34" s="91" t="str">
        <f>IF(L5="","",L5/1000)</f>
        <v/>
      </c>
      <c r="F34" s="8" t="str">
        <f>IF(L6="","",L6/1000)</f>
        <v/>
      </c>
      <c r="G34" s="8"/>
      <c r="H34" s="8" t="str">
        <f>IF(P13="","",P13/1000)</f>
        <v/>
      </c>
      <c r="I34" s="8"/>
      <c r="J34" s="8" t="str">
        <f>IF(C34="","",C34^2*D34)</f>
        <v/>
      </c>
      <c r="K34" s="8"/>
      <c r="L34" s="92" t="str">
        <f>IF(E34="","",E34^2*PI()/4*H34)</f>
        <v/>
      </c>
      <c r="M34" s="7" t="str">
        <f>IF(F34="","",F34^2*PI()/4*H34)</f>
        <v/>
      </c>
      <c r="N34" s="7"/>
      <c r="O34" s="7"/>
      <c r="P34" s="93" t="str">
        <f>IF(C34="","",ROUNDDOWN((J34-L34)*G32/100+M34,3))</f>
        <v/>
      </c>
    </row>
    <row r="36" spans="1:20" ht="18" customHeight="1" x14ac:dyDescent="0.15">
      <c r="A36" s="21">
        <v>4</v>
      </c>
      <c r="B36" s="35" t="s">
        <v>54</v>
      </c>
      <c r="C36" s="35"/>
      <c r="D36" s="35"/>
    </row>
    <row r="37" spans="1:20" ht="18" customHeight="1" x14ac:dyDescent="0.15">
      <c r="B37" s="35"/>
      <c r="C37" s="35" t="s">
        <v>140</v>
      </c>
      <c r="D37" s="35"/>
    </row>
    <row r="38" spans="1:20" ht="18" customHeight="1" x14ac:dyDescent="0.15">
      <c r="B38" s="35"/>
      <c r="C38" s="94" t="s">
        <v>121</v>
      </c>
      <c r="D38" s="95" t="str">
        <f>IF(C34="","",D27)</f>
        <v/>
      </c>
      <c r="E38" s="21" t="s">
        <v>141</v>
      </c>
      <c r="F38" s="5" t="str">
        <f>IF(C34="","",P34)</f>
        <v/>
      </c>
      <c r="G38" s="5"/>
    </row>
    <row r="39" spans="1:20" ht="18" customHeight="1" x14ac:dyDescent="0.15">
      <c r="B39" s="35"/>
      <c r="C39" s="94" t="s">
        <v>121</v>
      </c>
      <c r="D39" s="95" t="str">
        <f>IF(C34="","",D38+F38)</f>
        <v/>
      </c>
      <c r="E39" s="20" t="s">
        <v>175</v>
      </c>
    </row>
  </sheetData>
  <mergeCells count="25">
    <mergeCell ref="F34:G34"/>
    <mergeCell ref="H34:I34"/>
    <mergeCell ref="J34:K34"/>
    <mergeCell ref="M34:O34"/>
    <mergeCell ref="F38:G38"/>
    <mergeCell ref="D19:E19"/>
    <mergeCell ref="F33:G33"/>
    <mergeCell ref="H33:I33"/>
    <mergeCell ref="J33:K33"/>
    <mergeCell ref="M33:O33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D3:E3"/>
    <mergeCell ref="D5:E5"/>
    <mergeCell ref="D6:E6"/>
    <mergeCell ref="D7:E7"/>
    <mergeCell ref="D8:E8"/>
  </mergeCells>
  <phoneticPr fontId="7"/>
  <pageMargins left="0.55000000000000004" right="0.37013888888888902" top="1.3798611111111101" bottom="0.68958333333333299" header="1.02013888888889" footer="0.32986111111111099"/>
  <pageSetup paperSize="9" firstPageNumber="0" orientation="portrait" horizontalDpi="300" verticalDpi="300" r:id="rId1"/>
  <headerFooter>
    <oddHeader>&amp;C&amp;A</oddHeader>
    <oddFooter>&amp;C浸透計算 - &amp;P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9"/>
  <sheetViews>
    <sheetView topLeftCell="A16" zoomScaleNormal="100" zoomScalePageLayoutView="60" workbookViewId="0"/>
  </sheetViews>
  <sheetFormatPr defaultRowHeight="13.5" x14ac:dyDescent="0.15"/>
  <cols>
    <col min="1" max="2" width="4.625" style="20" customWidth="1"/>
    <col min="3" max="3" width="8.875" style="21" customWidth="1"/>
    <col min="4" max="5" width="7.625" style="20" customWidth="1"/>
    <col min="6" max="6" width="4.625" style="20" customWidth="1"/>
    <col min="7" max="7" width="5.875" style="20" customWidth="1"/>
    <col min="8" max="8" width="4.5" style="20" customWidth="1"/>
    <col min="9" max="9" width="4.625" style="20" customWidth="1"/>
    <col min="10" max="10" width="2.625" style="20" customWidth="1"/>
    <col min="11" max="11" width="7.25" style="20" customWidth="1"/>
    <col min="12" max="12" width="11.75" style="20" customWidth="1"/>
    <col min="13" max="13" width="2.625" style="20" customWidth="1"/>
    <col min="14" max="15" width="4.625" style="20" customWidth="1"/>
    <col min="16" max="16" width="7.75" style="20" customWidth="1"/>
    <col min="17" max="18" width="4.625" style="20" customWidth="1"/>
    <col min="19" max="19" width="22" style="20" customWidth="1"/>
    <col min="20" max="20" width="14.375" style="20" customWidth="1"/>
    <col min="21" max="23" width="4.625" style="20" customWidth="1"/>
    <col min="24" max="257" width="9" style="20" customWidth="1"/>
    <col min="258" max="1025" width="9" customWidth="1"/>
  </cols>
  <sheetData>
    <row r="1" spans="1:16" ht="18" customHeight="1" x14ac:dyDescent="0.15">
      <c r="A1" s="20" t="s">
        <v>176</v>
      </c>
    </row>
    <row r="2" spans="1:16" ht="18" customHeight="1" x14ac:dyDescent="0.15">
      <c r="A2" s="21">
        <v>1</v>
      </c>
      <c r="B2" s="20" t="s">
        <v>77</v>
      </c>
    </row>
    <row r="3" spans="1:16" ht="18" customHeight="1" x14ac:dyDescent="0.15">
      <c r="A3" s="21"/>
      <c r="C3" s="22" t="s">
        <v>157</v>
      </c>
      <c r="D3" s="14" t="s">
        <v>177</v>
      </c>
      <c r="E3" s="14"/>
      <c r="L3" s="20" t="s">
        <v>78</v>
      </c>
    </row>
    <row r="4" spans="1:16" ht="18" customHeight="1" x14ac:dyDescent="0.15">
      <c r="C4" s="45" t="s">
        <v>159</v>
      </c>
      <c r="D4" s="109"/>
      <c r="E4" s="110"/>
      <c r="I4" s="20" t="s">
        <v>160</v>
      </c>
      <c r="L4" s="52"/>
      <c r="M4" s="21"/>
    </row>
    <row r="5" spans="1:16" s="21" customFormat="1" ht="18" customHeight="1" x14ac:dyDescent="0.15">
      <c r="C5" s="49" t="s">
        <v>83</v>
      </c>
      <c r="D5" s="1" t="s">
        <v>161</v>
      </c>
      <c r="E5" s="1"/>
      <c r="I5" s="29"/>
      <c r="J5" s="44" t="s">
        <v>144</v>
      </c>
      <c r="K5"/>
      <c r="L5" s="53"/>
      <c r="M5" s="29"/>
      <c r="N5" s="29"/>
    </row>
    <row r="6" spans="1:16" s="21" customFormat="1" ht="18" customHeight="1" x14ac:dyDescent="0.15">
      <c r="C6" s="22" t="s">
        <v>87</v>
      </c>
      <c r="D6" s="14" t="s">
        <v>88</v>
      </c>
      <c r="E6" s="14"/>
      <c r="I6" s="29"/>
      <c r="J6" s="44" t="s">
        <v>178</v>
      </c>
      <c r="K6"/>
      <c r="L6" s="53"/>
      <c r="M6" s="29"/>
      <c r="N6" s="29"/>
    </row>
    <row r="7" spans="1:16" s="21" customFormat="1" ht="18" customHeight="1" x14ac:dyDescent="0.15">
      <c r="C7" s="22" t="s">
        <v>91</v>
      </c>
      <c r="D7" s="14" t="s">
        <v>92</v>
      </c>
      <c r="E7" s="14"/>
      <c r="I7" s="29"/>
      <c r="J7" s="29"/>
      <c r="K7" s="29"/>
      <c r="L7" s="29"/>
      <c r="M7" s="29"/>
      <c r="N7" s="29"/>
    </row>
    <row r="8" spans="1:16" s="21" customFormat="1" ht="18" customHeight="1" x14ac:dyDescent="0.15">
      <c r="C8" s="22" t="s">
        <v>94</v>
      </c>
      <c r="D8" s="14" t="s">
        <v>163</v>
      </c>
      <c r="E8" s="14"/>
      <c r="G8" s="54" t="s">
        <v>96</v>
      </c>
      <c r="I8" s="55"/>
      <c r="J8" s="96"/>
      <c r="K8" s="111"/>
      <c r="L8" s="111"/>
      <c r="M8" s="98"/>
      <c r="N8" s="57"/>
    </row>
    <row r="9" spans="1:16" s="21" customFormat="1" ht="18" customHeight="1" x14ac:dyDescent="0.15">
      <c r="C9" s="22" t="s">
        <v>98</v>
      </c>
      <c r="D9" s="14" t="s">
        <v>164</v>
      </c>
      <c r="E9" s="14"/>
      <c r="I9" s="58"/>
      <c r="J9" s="99"/>
      <c r="K9" s="100"/>
      <c r="L9" s="29"/>
      <c r="M9" s="99"/>
      <c r="N9" s="60"/>
    </row>
    <row r="10" spans="1:16" s="21" customFormat="1" ht="18" customHeight="1" x14ac:dyDescent="0.15">
      <c r="C10" s="22" t="s">
        <v>101</v>
      </c>
      <c r="D10" s="14" t="str">
        <f>IF(P17="","",P17/1000)</f>
        <v/>
      </c>
      <c r="E10" s="14"/>
      <c r="I10" s="61"/>
      <c r="J10" s="101"/>
      <c r="K10" s="100"/>
      <c r="L10" s="29"/>
      <c r="M10" s="101"/>
      <c r="N10" s="61"/>
    </row>
    <row r="11" spans="1:16" s="21" customFormat="1" ht="18" customHeight="1" x14ac:dyDescent="0.15">
      <c r="C11" s="22" t="s">
        <v>103</v>
      </c>
      <c r="D11" s="14" t="str">
        <f>IF(L4="","",L4/1000)</f>
        <v/>
      </c>
      <c r="E11" s="14"/>
      <c r="I11" s="61"/>
      <c r="J11" s="101"/>
      <c r="K11" s="100"/>
      <c r="L11" s="29"/>
      <c r="M11" s="101"/>
      <c r="N11" s="61"/>
    </row>
    <row r="12" spans="1:16" ht="18" customHeight="1" x14ac:dyDescent="0.15">
      <c r="C12" s="22" t="s">
        <v>105</v>
      </c>
      <c r="D12" s="14" t="s">
        <v>71</v>
      </c>
      <c r="E12" s="14"/>
      <c r="G12" s="20" t="s">
        <v>106</v>
      </c>
      <c r="I12" s="62"/>
      <c r="J12" s="112"/>
      <c r="K12" s="113"/>
      <c r="L12" s="35"/>
      <c r="M12" s="112"/>
      <c r="N12" s="62"/>
    </row>
    <row r="13" spans="1:16" ht="18" customHeight="1" x14ac:dyDescent="0.15">
      <c r="C13" s="63" t="s">
        <v>107</v>
      </c>
      <c r="D13" s="19" t="s">
        <v>165</v>
      </c>
      <c r="E13" s="19"/>
      <c r="I13" s="62"/>
      <c r="J13" s="112"/>
      <c r="K13" s="113"/>
      <c r="L13" s="35"/>
      <c r="M13" s="112"/>
      <c r="N13" s="62"/>
      <c r="O13" s="79" t="s">
        <v>166</v>
      </c>
      <c r="P13" s="52"/>
    </row>
    <row r="14" spans="1:16" s="65" customFormat="1" ht="18" customHeight="1" x14ac:dyDescent="0.15">
      <c r="C14" s="71"/>
      <c r="D14" s="13" t="str">
        <f>IF(D11="","",0.12*D11+0.985)</f>
        <v/>
      </c>
      <c r="E14" s="13"/>
      <c r="G14" s="54" t="s">
        <v>157</v>
      </c>
      <c r="H14" s="21"/>
      <c r="I14" s="67"/>
      <c r="J14" s="114"/>
      <c r="K14" s="115"/>
      <c r="L14" s="116"/>
      <c r="M14" s="114"/>
      <c r="N14" s="67"/>
    </row>
    <row r="15" spans="1:16" s="70" customFormat="1" ht="18" customHeight="1" x14ac:dyDescent="0.15">
      <c r="C15" s="63" t="s">
        <v>108</v>
      </c>
      <c r="D15" s="12" t="s">
        <v>167</v>
      </c>
      <c r="E15" s="12"/>
      <c r="G15" s="20"/>
      <c r="H15" s="20"/>
      <c r="I15" s="72"/>
      <c r="J15" s="117"/>
      <c r="K15" s="118"/>
      <c r="L15" s="119"/>
      <c r="M15" s="117"/>
      <c r="N15" s="72"/>
    </row>
    <row r="16" spans="1:16" s="65" customFormat="1" ht="18" customHeight="1" x14ac:dyDescent="0.15">
      <c r="C16" s="71"/>
      <c r="D16" s="13" t="str">
        <f>IF(D11="","",7.837*D11+0.82)</f>
        <v/>
      </c>
      <c r="E16" s="13"/>
      <c r="G16" s="21"/>
      <c r="H16" s="21"/>
      <c r="I16" s="67"/>
      <c r="J16" s="120"/>
      <c r="K16" s="121"/>
      <c r="L16" s="122"/>
      <c r="M16" s="120"/>
      <c r="N16" s="67"/>
    </row>
    <row r="17" spans="1:20" s="65" customFormat="1" ht="18" customHeight="1" x14ac:dyDescent="0.15">
      <c r="C17" s="45" t="s">
        <v>168</v>
      </c>
      <c r="D17" s="12" t="s">
        <v>169</v>
      </c>
      <c r="E17" s="12"/>
      <c r="G17" s="20" t="s">
        <v>113</v>
      </c>
      <c r="H17" s="20"/>
      <c r="I17" s="67"/>
      <c r="J17" s="67"/>
      <c r="K17" s="67"/>
      <c r="L17" s="67"/>
      <c r="M17" s="67"/>
      <c r="N17" s="67"/>
      <c r="O17" s="68" t="s">
        <v>111</v>
      </c>
      <c r="P17" s="69"/>
      <c r="Q17" s="73"/>
    </row>
    <row r="18" spans="1:20" s="21" customFormat="1" ht="18" customHeight="1" x14ac:dyDescent="0.15">
      <c r="C18" s="49"/>
      <c r="D18" s="18" t="str">
        <f>IF(D11="","",2.858*D11-0.283)</f>
        <v/>
      </c>
      <c r="E18" s="18"/>
      <c r="G18" s="54"/>
      <c r="I18" s="61"/>
      <c r="J18" s="61"/>
      <c r="K18" s="61"/>
      <c r="L18" s="61"/>
      <c r="M18" s="61"/>
      <c r="N18" s="61"/>
    </row>
    <row r="19" spans="1:20" s="21" customFormat="1" ht="18" customHeight="1" x14ac:dyDescent="0.15">
      <c r="C19" s="22" t="s">
        <v>112</v>
      </c>
      <c r="D19" s="17" t="str">
        <f>IF(D11="","",ROUNDDOWN(D14*D10*D10+D16*D10+D18,3))</f>
        <v/>
      </c>
      <c r="E19" s="17"/>
      <c r="I19" s="75"/>
      <c r="J19" s="76"/>
      <c r="K19" s="77"/>
      <c r="L19" s="77" t="s">
        <v>116</v>
      </c>
      <c r="M19" s="76"/>
      <c r="N19" s="78"/>
      <c r="O19" s="21">
        <v>50</v>
      </c>
    </row>
    <row r="20" spans="1:20" ht="18" customHeight="1" x14ac:dyDescent="0.15">
      <c r="L20" s="20" t="s">
        <v>117</v>
      </c>
    </row>
    <row r="21" spans="1:20" ht="18" customHeight="1" x14ac:dyDescent="0.15">
      <c r="A21" s="21">
        <v>2</v>
      </c>
      <c r="B21" s="35" t="s">
        <v>41</v>
      </c>
      <c r="C21" s="35"/>
      <c r="D21" s="35"/>
      <c r="E21" s="35"/>
      <c r="F21" s="35"/>
      <c r="I21" s="20" t="s">
        <v>118</v>
      </c>
    </row>
    <row r="22" spans="1:20" ht="18" customHeight="1" x14ac:dyDescent="0.15">
      <c r="B22" s="35"/>
      <c r="C22" s="35" t="s">
        <v>119</v>
      </c>
      <c r="D22" s="35"/>
      <c r="E22" s="35"/>
      <c r="F22" s="35"/>
    </row>
    <row r="23" spans="1:20" ht="18" customHeight="1" x14ac:dyDescent="0.15">
      <c r="B23" s="35"/>
      <c r="C23" s="35"/>
      <c r="D23" s="35" t="s">
        <v>45</v>
      </c>
      <c r="E23" s="35"/>
      <c r="F23"/>
    </row>
    <row r="24" spans="1:20" ht="18" customHeight="1" x14ac:dyDescent="0.15">
      <c r="B24" s="35"/>
      <c r="C24" s="35"/>
      <c r="D24" s="35" t="s">
        <v>120</v>
      </c>
      <c r="E24" s="35"/>
      <c r="F24"/>
      <c r="I24" s="21" t="s">
        <v>121</v>
      </c>
      <c r="J24" s="21"/>
      <c r="K24" s="79" t="str">
        <f>IF(D19="","",D19)</f>
        <v/>
      </c>
    </row>
    <row r="25" spans="1:20" ht="18" customHeight="1" x14ac:dyDescent="0.15">
      <c r="B25" s="35"/>
      <c r="C25" s="35"/>
      <c r="D25" s="35" t="s">
        <v>47</v>
      </c>
      <c r="E25" s="35"/>
      <c r="F25"/>
      <c r="I25" s="21" t="s">
        <v>121</v>
      </c>
      <c r="K25" s="79">
        <f>IF(浸透施設設計!F3="","",浸透施設設計!F3)</f>
        <v>0.1</v>
      </c>
    </row>
    <row r="26" spans="1:20" ht="18" customHeight="1" x14ac:dyDescent="0.15">
      <c r="B26" s="35"/>
      <c r="C26" s="35"/>
      <c r="D26" s="35"/>
      <c r="E26" s="35"/>
      <c r="F26"/>
      <c r="I26" s="21"/>
      <c r="K26" s="79"/>
    </row>
    <row r="27" spans="1:20" ht="18" customHeight="1" x14ac:dyDescent="0.15">
      <c r="C27" s="35" t="s">
        <v>122</v>
      </c>
      <c r="D27" s="80" t="str">
        <f>IF(K24="","",ROUNDDOWN(K24*K25,3))</f>
        <v/>
      </c>
      <c r="E27" s="20" t="s">
        <v>123</v>
      </c>
      <c r="F27"/>
    </row>
    <row r="29" spans="1:20" ht="18" customHeight="1" x14ac:dyDescent="0.15">
      <c r="A29" s="21">
        <v>3</v>
      </c>
      <c r="B29" s="35" t="s">
        <v>48</v>
      </c>
      <c r="C29" s="35"/>
      <c r="D29" s="35"/>
      <c r="E29" s="35"/>
      <c r="F29" s="35"/>
    </row>
    <row r="30" spans="1:20" ht="18" customHeight="1" x14ac:dyDescent="0.15">
      <c r="B30" s="35"/>
      <c r="C30" s="35" t="s">
        <v>179</v>
      </c>
      <c r="D30" s="35"/>
      <c r="E30" s="35"/>
      <c r="F30"/>
      <c r="S30" s="124" t="s">
        <v>125</v>
      </c>
      <c r="T30" s="22" t="s">
        <v>126</v>
      </c>
    </row>
    <row r="31" spans="1:20" ht="18" customHeight="1" x14ac:dyDescent="0.15">
      <c r="B31" s="35"/>
      <c r="C31" s="35"/>
      <c r="D31" s="35" t="s">
        <v>51</v>
      </c>
      <c r="E31" s="35"/>
      <c r="F31"/>
      <c r="S31" s="81" t="s">
        <v>127</v>
      </c>
      <c r="T31" s="22">
        <v>35</v>
      </c>
    </row>
    <row r="32" spans="1:20" ht="18" customHeight="1" x14ac:dyDescent="0.15">
      <c r="B32" s="35"/>
      <c r="C32" s="35"/>
      <c r="D32" s="35" t="s">
        <v>53</v>
      </c>
      <c r="E32" s="35"/>
      <c r="F32" s="21" t="s">
        <v>121</v>
      </c>
      <c r="G32" s="125">
        <v>40</v>
      </c>
      <c r="H32" s="84" t="s">
        <v>128</v>
      </c>
      <c r="S32" s="81" t="s">
        <v>129</v>
      </c>
      <c r="T32" s="22">
        <v>10</v>
      </c>
    </row>
    <row r="33" spans="1:20" s="70" customFormat="1" ht="27" customHeight="1" x14ac:dyDescent="0.15">
      <c r="C33" s="85" t="s">
        <v>130</v>
      </c>
      <c r="D33" s="85" t="s">
        <v>131</v>
      </c>
      <c r="E33" s="85" t="s">
        <v>150</v>
      </c>
      <c r="F33" s="11" t="s">
        <v>151</v>
      </c>
      <c r="G33" s="11"/>
      <c r="H33" s="11" t="s">
        <v>171</v>
      </c>
      <c r="I33" s="11"/>
      <c r="J33" s="11" t="s">
        <v>172</v>
      </c>
      <c r="K33" s="11"/>
      <c r="L33" s="85" t="s">
        <v>180</v>
      </c>
      <c r="M33" s="11" t="s">
        <v>181</v>
      </c>
      <c r="N33" s="11"/>
      <c r="O33" s="11"/>
      <c r="P33" s="88" t="s">
        <v>137</v>
      </c>
      <c r="S33" s="81" t="s">
        <v>138</v>
      </c>
      <c r="T33" s="88" t="s">
        <v>139</v>
      </c>
    </row>
    <row r="34" spans="1:20" s="21" customFormat="1" ht="18" customHeight="1" x14ac:dyDescent="0.15">
      <c r="C34" s="91" t="str">
        <f>IF(L4="","",L4/1000)</f>
        <v/>
      </c>
      <c r="D34" s="91" t="str">
        <f>IF(P17="","",P17/1000)</f>
        <v/>
      </c>
      <c r="E34" s="91" t="str">
        <f>IF(L5="","",L5/1000)</f>
        <v/>
      </c>
      <c r="F34" s="8" t="str">
        <f>IF(L6="","",L6/1000)</f>
        <v/>
      </c>
      <c r="G34" s="8"/>
      <c r="H34" s="8" t="str">
        <f>IF(P13="","",P13/1000)</f>
        <v/>
      </c>
      <c r="I34" s="8"/>
      <c r="J34" s="8" t="str">
        <f>IF(C34="","",C34^2*D34)</f>
        <v/>
      </c>
      <c r="K34" s="8"/>
      <c r="L34" s="92" t="str">
        <f>IF(E34="","",E34^2*H34)</f>
        <v/>
      </c>
      <c r="M34" s="7" t="str">
        <f>IF(F34="","",F34^2*H34)</f>
        <v/>
      </c>
      <c r="N34" s="7"/>
      <c r="O34" s="7"/>
      <c r="P34" s="93" t="str">
        <f>IF(C34="","",ROUNDDOWN((J34-L34)*G32/100+M34,3))</f>
        <v/>
      </c>
    </row>
    <row r="36" spans="1:20" ht="18" customHeight="1" x14ac:dyDescent="0.15">
      <c r="A36" s="21">
        <v>4</v>
      </c>
      <c r="B36" s="35" t="s">
        <v>54</v>
      </c>
      <c r="C36" s="35"/>
      <c r="D36" s="35"/>
    </row>
    <row r="37" spans="1:20" ht="18" customHeight="1" x14ac:dyDescent="0.15">
      <c r="B37" s="35"/>
      <c r="C37" s="35" t="s">
        <v>140</v>
      </c>
      <c r="D37" s="35"/>
    </row>
    <row r="38" spans="1:20" ht="18" customHeight="1" x14ac:dyDescent="0.15">
      <c r="B38" s="35"/>
      <c r="C38" s="94" t="s">
        <v>121</v>
      </c>
      <c r="D38" s="95" t="str">
        <f>IF(C34="","",D27)</f>
        <v/>
      </c>
      <c r="E38" s="21" t="s">
        <v>141</v>
      </c>
      <c r="F38" s="5" t="str">
        <f>IF(C34="","",P34)</f>
        <v/>
      </c>
      <c r="G38" s="5"/>
    </row>
    <row r="39" spans="1:20" ht="18" customHeight="1" x14ac:dyDescent="0.15">
      <c r="B39" s="35"/>
      <c r="C39" s="94" t="s">
        <v>121</v>
      </c>
      <c r="D39" s="95" t="str">
        <f>IF(C34="","",D38+F38)</f>
        <v/>
      </c>
      <c r="E39" s="20" t="s">
        <v>175</v>
      </c>
    </row>
  </sheetData>
  <mergeCells count="25">
    <mergeCell ref="F34:G34"/>
    <mergeCell ref="H34:I34"/>
    <mergeCell ref="J34:K34"/>
    <mergeCell ref="M34:O34"/>
    <mergeCell ref="F38:G38"/>
    <mergeCell ref="D19:E19"/>
    <mergeCell ref="F33:G33"/>
    <mergeCell ref="H33:I33"/>
    <mergeCell ref="J33:K33"/>
    <mergeCell ref="M33:O33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D3:E3"/>
    <mergeCell ref="D5:E5"/>
    <mergeCell ref="D6:E6"/>
    <mergeCell ref="D7:E7"/>
    <mergeCell ref="D8:E8"/>
  </mergeCells>
  <phoneticPr fontId="7"/>
  <pageMargins left="0.55000000000000004" right="0.37013888888888902" top="1.3798611111111101" bottom="0.68958333333333299" header="1.02013888888889" footer="0.32986111111111099"/>
  <pageSetup paperSize="9" firstPageNumber="0" orientation="portrait" horizontalDpi="300" verticalDpi="300"/>
  <headerFooter>
    <oddHeader>&amp;C&amp;A</oddHeader>
    <oddFooter>&amp;C浸透計算 - &amp;P -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5"/>
  <sheetViews>
    <sheetView zoomScaleNormal="100" zoomScalePageLayoutView="60" workbookViewId="0"/>
  </sheetViews>
  <sheetFormatPr defaultRowHeight="13.5" x14ac:dyDescent="0.15"/>
  <cols>
    <col min="1" max="1" width="11" style="21" customWidth="1"/>
    <col min="2" max="2" width="14.375" style="20" customWidth="1"/>
    <col min="3" max="3" width="16.375" style="20" customWidth="1"/>
    <col min="4" max="4" width="16.5" style="20" customWidth="1"/>
    <col min="5" max="5" width="24.25" style="20" customWidth="1"/>
    <col min="6" max="6" width="26" style="20" customWidth="1"/>
    <col min="7" max="7" width="25.875" style="20" customWidth="1"/>
    <col min="8" max="8" width="15.875" style="20" customWidth="1"/>
    <col min="9" max="9" width="25.75" style="20" customWidth="1"/>
    <col min="10" max="10" width="23.875" style="20" customWidth="1"/>
    <col min="11" max="11" width="31.375" style="20" customWidth="1"/>
    <col min="12" max="257" width="9" style="20" customWidth="1"/>
    <col min="258" max="1025" width="9" customWidth="1"/>
  </cols>
  <sheetData>
    <row r="1" spans="1:11" s="21" customFormat="1" ht="24" customHeight="1" x14ac:dyDescent="0.15">
      <c r="A1" s="22" t="s">
        <v>182</v>
      </c>
      <c r="B1" s="22" t="s">
        <v>183</v>
      </c>
      <c r="C1" s="22" t="s">
        <v>84</v>
      </c>
      <c r="D1" s="22" t="s">
        <v>184</v>
      </c>
      <c r="E1" s="22" t="s">
        <v>184</v>
      </c>
      <c r="F1" s="22" t="s">
        <v>184</v>
      </c>
      <c r="G1" s="22" t="s">
        <v>184</v>
      </c>
      <c r="H1" s="22" t="s">
        <v>185</v>
      </c>
      <c r="I1" s="22" t="s">
        <v>185</v>
      </c>
      <c r="J1" s="22" t="s">
        <v>185</v>
      </c>
      <c r="K1" s="22" t="s">
        <v>186</v>
      </c>
    </row>
    <row r="2" spans="1:11" s="21" customFormat="1" ht="24" customHeight="1" x14ac:dyDescent="0.15">
      <c r="A2" s="22" t="s">
        <v>87</v>
      </c>
      <c r="B2" s="22" t="s">
        <v>187</v>
      </c>
      <c r="C2" s="22" t="s">
        <v>88</v>
      </c>
      <c r="D2" s="22" t="s">
        <v>88</v>
      </c>
      <c r="E2" s="22" t="s">
        <v>88</v>
      </c>
      <c r="F2" s="22" t="s">
        <v>187</v>
      </c>
      <c r="G2" s="22" t="s">
        <v>187</v>
      </c>
      <c r="H2" s="22" t="s">
        <v>88</v>
      </c>
      <c r="I2" s="22" t="s">
        <v>88</v>
      </c>
      <c r="J2" s="22" t="s">
        <v>187</v>
      </c>
      <c r="K2" s="22" t="s">
        <v>88</v>
      </c>
    </row>
    <row r="3" spans="1:11" s="21" customFormat="1" ht="24" customHeight="1" x14ac:dyDescent="0.15">
      <c r="A3" s="22" t="s">
        <v>91</v>
      </c>
      <c r="B3" s="22" t="s">
        <v>92</v>
      </c>
      <c r="C3" s="22" t="s">
        <v>92</v>
      </c>
      <c r="D3" s="22" t="s">
        <v>92</v>
      </c>
      <c r="E3" s="22" t="s">
        <v>92</v>
      </c>
      <c r="F3" s="22" t="s">
        <v>92</v>
      </c>
      <c r="G3" s="22" t="s">
        <v>92</v>
      </c>
      <c r="H3" s="22" t="s">
        <v>92</v>
      </c>
      <c r="I3" s="22" t="s">
        <v>92</v>
      </c>
      <c r="J3" s="22" t="s">
        <v>92</v>
      </c>
      <c r="K3" s="22" t="s">
        <v>92</v>
      </c>
    </row>
    <row r="4" spans="1:11" s="21" customFormat="1" ht="24" customHeight="1" x14ac:dyDescent="0.15">
      <c r="A4" s="22" t="s">
        <v>94</v>
      </c>
      <c r="B4" s="22" t="s">
        <v>188</v>
      </c>
      <c r="C4" s="22" t="s">
        <v>95</v>
      </c>
      <c r="D4" s="22" t="s">
        <v>189</v>
      </c>
      <c r="E4" s="22" t="s">
        <v>190</v>
      </c>
      <c r="F4" s="22" t="s">
        <v>191</v>
      </c>
      <c r="G4" s="22" t="s">
        <v>190</v>
      </c>
      <c r="H4" s="22" t="s">
        <v>163</v>
      </c>
      <c r="I4" s="22" t="s">
        <v>192</v>
      </c>
      <c r="J4" s="22" t="s">
        <v>163</v>
      </c>
      <c r="K4" s="22" t="s">
        <v>193</v>
      </c>
    </row>
    <row r="5" spans="1:11" s="21" customFormat="1" ht="24" customHeight="1" x14ac:dyDescent="0.15">
      <c r="A5" s="22" t="s">
        <v>98</v>
      </c>
      <c r="B5" s="22" t="s">
        <v>99</v>
      </c>
      <c r="C5" s="22" t="s">
        <v>99</v>
      </c>
      <c r="D5" s="22" t="s">
        <v>164</v>
      </c>
      <c r="E5" s="22" t="s">
        <v>99</v>
      </c>
      <c r="F5" s="22" t="s">
        <v>99</v>
      </c>
      <c r="G5" s="22" t="s">
        <v>99</v>
      </c>
      <c r="H5" s="22" t="s">
        <v>164</v>
      </c>
      <c r="I5" s="22" t="s">
        <v>99</v>
      </c>
      <c r="J5" s="22" t="s">
        <v>99</v>
      </c>
      <c r="K5" s="22" t="s">
        <v>99</v>
      </c>
    </row>
    <row r="6" spans="1:11" s="21" customFormat="1" ht="24" customHeight="1" x14ac:dyDescent="0.15">
      <c r="A6" s="22" t="s">
        <v>101</v>
      </c>
      <c r="B6" s="126"/>
      <c r="C6" s="126">
        <v>0.7</v>
      </c>
      <c r="D6" s="126">
        <v>0.6</v>
      </c>
      <c r="E6" s="126"/>
      <c r="F6" s="126"/>
      <c r="G6" s="126"/>
      <c r="H6" s="126">
        <v>1.4</v>
      </c>
      <c r="I6" s="126"/>
      <c r="J6" s="126"/>
      <c r="K6" s="126">
        <v>1.4</v>
      </c>
    </row>
    <row r="7" spans="1:11" s="21" customFormat="1" ht="24" customHeight="1" x14ac:dyDescent="0.15">
      <c r="A7" s="22" t="s">
        <v>194</v>
      </c>
      <c r="B7" s="22" t="s">
        <v>71</v>
      </c>
      <c r="C7" s="126">
        <v>1.82</v>
      </c>
      <c r="D7" s="126">
        <v>0.7</v>
      </c>
      <c r="E7" s="126"/>
      <c r="F7" s="126"/>
      <c r="G7" s="126"/>
      <c r="H7" s="126">
        <v>0.9</v>
      </c>
      <c r="I7" s="126"/>
      <c r="J7" s="126"/>
      <c r="K7" s="126">
        <v>2</v>
      </c>
    </row>
    <row r="8" spans="1:11" ht="24" customHeight="1" x14ac:dyDescent="0.15">
      <c r="A8" s="22" t="s">
        <v>105</v>
      </c>
      <c r="B8" s="22" t="s">
        <v>71</v>
      </c>
      <c r="C8" s="22" t="s">
        <v>71</v>
      </c>
      <c r="D8" s="22" t="s">
        <v>71</v>
      </c>
      <c r="E8" s="22" t="s">
        <v>71</v>
      </c>
      <c r="F8" s="22" t="s">
        <v>71</v>
      </c>
      <c r="G8" s="22" t="s">
        <v>71</v>
      </c>
      <c r="H8" s="22" t="s">
        <v>71</v>
      </c>
      <c r="I8" s="22" t="s">
        <v>71</v>
      </c>
      <c r="J8" s="22" t="s">
        <v>71</v>
      </c>
      <c r="K8" s="126">
        <v>7</v>
      </c>
    </row>
    <row r="9" spans="1:11" ht="38.25" customHeight="1" x14ac:dyDescent="0.15">
      <c r="A9" s="63" t="s">
        <v>107</v>
      </c>
      <c r="B9" s="127"/>
      <c r="C9" s="127"/>
      <c r="D9" s="127" t="s">
        <v>195</v>
      </c>
      <c r="E9" s="127" t="s">
        <v>196</v>
      </c>
      <c r="F9" s="127" t="s">
        <v>197</v>
      </c>
      <c r="G9" s="127" t="s">
        <v>198</v>
      </c>
      <c r="H9" s="127" t="s">
        <v>165</v>
      </c>
      <c r="I9" s="128" t="s">
        <v>199</v>
      </c>
      <c r="J9" s="127" t="s">
        <v>200</v>
      </c>
      <c r="K9" s="127" t="s">
        <v>201</v>
      </c>
    </row>
    <row r="10" spans="1:11" s="65" customFormat="1" ht="13.5" customHeight="1" x14ac:dyDescent="0.15">
      <c r="A10" s="71"/>
      <c r="B10" s="64">
        <v>1.4E-2</v>
      </c>
      <c r="C10" s="64">
        <v>3.093</v>
      </c>
      <c r="D10" s="64">
        <f>IF(D7="","",0.475*D7+0.945)</f>
        <v>1.2774999999999999</v>
      </c>
      <c r="E10" s="64" t="str">
        <f>IF(E7="","","=6.244*E7+2.853")</f>
        <v/>
      </c>
      <c r="F10" s="64" t="str">
        <f>IF(F7="","",1.497*F7-0.1)</f>
        <v/>
      </c>
      <c r="G10" s="64" t="str">
        <f>IF(G7="","",2.556*F7-2.052)</f>
        <v/>
      </c>
      <c r="H10" s="64">
        <f>IF(H7="","",0.12*H7+0.985)</f>
        <v>1.093</v>
      </c>
      <c r="I10" s="64" t="str">
        <f>IF(I7="","",-0.453*I7*I7+8.289*I7+0.753)</f>
        <v/>
      </c>
      <c r="J10" s="64" t="str">
        <f>IF(J7="","",1.676*J7-0.137)</f>
        <v/>
      </c>
      <c r="K10" s="64">
        <f>IF(K7="","",3.297*K8+(1.971*K7+4.663))</f>
        <v>31.684000000000001</v>
      </c>
    </row>
    <row r="11" spans="1:11" s="70" customFormat="1" ht="40.5" customHeight="1" x14ac:dyDescent="0.15">
      <c r="A11" s="63" t="s">
        <v>108</v>
      </c>
      <c r="B11" s="128"/>
      <c r="C11" s="128" t="s">
        <v>109</v>
      </c>
      <c r="D11" s="128" t="s">
        <v>202</v>
      </c>
      <c r="E11" s="128" t="s">
        <v>203</v>
      </c>
      <c r="F11" s="128" t="s">
        <v>204</v>
      </c>
      <c r="G11" s="128" t="s">
        <v>205</v>
      </c>
      <c r="H11" s="128" t="s">
        <v>167</v>
      </c>
      <c r="I11" s="129" t="s">
        <v>206</v>
      </c>
      <c r="J11" s="128" t="s">
        <v>207</v>
      </c>
      <c r="K11" s="128" t="s">
        <v>208</v>
      </c>
    </row>
    <row r="12" spans="1:11" s="65" customFormat="1" ht="13.5" customHeight="1" x14ac:dyDescent="0.15">
      <c r="A12" s="71"/>
      <c r="B12" s="64">
        <v>1.2869999999999999</v>
      </c>
      <c r="C12" s="64">
        <f>IF(C7="","",1.34*C7+0.677)</f>
        <v>3.1158000000000001</v>
      </c>
      <c r="D12" s="64">
        <f>IF(D7="","",6.07*D7+1.01)</f>
        <v>5.2589999999999995</v>
      </c>
      <c r="E12" s="64" t="str">
        <f>IF(E7="","","=0.93*E7*E7+1.606*E7-0.773")</f>
        <v/>
      </c>
      <c r="F12" s="64" t="str">
        <f>IF(F7="","",1.13*F7*F7+0.638*F7-0.011)</f>
        <v/>
      </c>
      <c r="G12" s="64" t="str">
        <f>IF(G7="","",0.924*F7*F7+0.993*F7-0.087)</f>
        <v/>
      </c>
      <c r="H12" s="64">
        <f>IF(H7="","",7.837*H7+0.82)</f>
        <v>7.8733000000000004</v>
      </c>
      <c r="I12" s="64" t="str">
        <f>IF(I7="","",1.458*I7*I7+1.27*I7+0.362)</f>
        <v/>
      </c>
      <c r="J12" s="64" t="str">
        <f>IF(J7="","",1.496*J7*J7+0.671*J7-0.015)</f>
        <v/>
      </c>
      <c r="K12" s="64">
        <f>IF(K7="","",(1.401*K7+0.684)*K8+(1.214*K7-0.834))</f>
        <v>25.996000000000002</v>
      </c>
    </row>
    <row r="13" spans="1:11" s="65" customFormat="1" ht="24.75" customHeight="1" x14ac:dyDescent="0.15">
      <c r="A13" s="45" t="s">
        <v>168</v>
      </c>
      <c r="B13" s="127" t="s">
        <v>71</v>
      </c>
      <c r="C13" s="127" t="s">
        <v>71</v>
      </c>
      <c r="D13" s="66" t="s">
        <v>209</v>
      </c>
      <c r="E13" s="127" t="s">
        <v>71</v>
      </c>
      <c r="F13" s="127" t="s">
        <v>71</v>
      </c>
      <c r="G13" s="127" t="s">
        <v>71</v>
      </c>
      <c r="H13" s="66" t="s">
        <v>169</v>
      </c>
      <c r="I13" s="127" t="s">
        <v>71</v>
      </c>
      <c r="J13" s="127" t="s">
        <v>71</v>
      </c>
      <c r="K13" s="127" t="s">
        <v>71</v>
      </c>
    </row>
    <row r="14" spans="1:11" s="21" customFormat="1" ht="15" customHeight="1" x14ac:dyDescent="0.15">
      <c r="A14" s="49"/>
      <c r="B14" s="123"/>
      <c r="C14" s="123"/>
      <c r="D14" s="123">
        <f>IF(D7="","",2.57*D7-0.188)</f>
        <v>1.6109999999999998</v>
      </c>
      <c r="E14" s="123"/>
      <c r="F14" s="123"/>
      <c r="G14" s="123"/>
      <c r="H14" s="123">
        <f>IF(H7="","",2.858*H7-0.283)</f>
        <v>2.2892000000000001</v>
      </c>
      <c r="I14" s="123"/>
      <c r="J14" s="123"/>
      <c r="K14" s="123"/>
    </row>
    <row r="15" spans="1:11" s="21" customFormat="1" ht="24" customHeight="1" x14ac:dyDescent="0.15">
      <c r="A15" s="22" t="s">
        <v>112</v>
      </c>
      <c r="B15" s="22" t="str">
        <f>IF(B6="","",ROUNDDOWN(B10*B6+B12,3))</f>
        <v/>
      </c>
      <c r="C15" s="22">
        <f>IF(C6="","K=aH+b",ROUNDDOWN(C10*C6+C12,3))</f>
        <v>5.28</v>
      </c>
      <c r="D15" s="22">
        <f>IF(D10="","K=aH2+bH+c",ROUNDDOWN(D10*D6*D6+D12*D6+D14,3))</f>
        <v>5.226</v>
      </c>
      <c r="E15" s="22" t="str">
        <f>IF(E7="","",ROUNDDOWN(E10*E6+E12,3))</f>
        <v/>
      </c>
      <c r="F15" s="22" t="str">
        <f>IF(F7="","",ROUNDDOWN(F10*F6+F12,3))</f>
        <v/>
      </c>
      <c r="G15" s="22" t="str">
        <f>IF(G7="","",ROUNDDOWN(G10*G6+G12,3))</f>
        <v/>
      </c>
      <c r="H15" s="22">
        <f>IF(H7="","",ROUNDDOWN(H10*H6*H6+H12*H6+H14,3))</f>
        <v>15.454000000000001</v>
      </c>
      <c r="I15" s="22" t="str">
        <f>IF(I7="","",ROUNDDOWN(I10*I6+I12,3))</f>
        <v/>
      </c>
      <c r="J15" s="22" t="str">
        <f>IF(J7="","",ROUNDDOWN(J10*J6+J12,3))</f>
        <v/>
      </c>
      <c r="K15" s="22">
        <f>IF(K7="","",ROUNDDOWN(K10*K6+K12,3))</f>
        <v>70.352999999999994</v>
      </c>
    </row>
  </sheetData>
  <phoneticPr fontId="7"/>
  <pageMargins left="0.55000000000000004" right="0.37013888888888902" top="1.3798611111111101" bottom="0.68958333333333299" header="1.02013888888889" footer="0.32986111111111099"/>
  <pageSetup paperSize="9" firstPageNumber="0" orientation="landscape" horizontalDpi="300" verticalDpi="300"/>
  <headerFooter>
    <oddHeader>&amp;C&amp;A</oddHeader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5"/>
  <sheetViews>
    <sheetView zoomScaleNormal="100" zoomScalePageLayoutView="60" workbookViewId="0"/>
  </sheetViews>
  <sheetFormatPr defaultRowHeight="13.5" x14ac:dyDescent="0.15"/>
  <cols>
    <col min="1" max="1" width="11" style="21" customWidth="1"/>
    <col min="2" max="2" width="23.875" style="20" customWidth="1"/>
    <col min="3" max="3" width="21.125" style="20" customWidth="1"/>
    <col min="4" max="4" width="18.625" style="20" customWidth="1"/>
    <col min="5" max="5" width="35.5" style="20" customWidth="1"/>
    <col min="6" max="257" width="9" style="20" customWidth="1"/>
    <col min="258" max="1025" width="9" customWidth="1"/>
  </cols>
  <sheetData>
    <row r="1" spans="1:5" s="21" customFormat="1" ht="24" customHeight="1" x14ac:dyDescent="0.15">
      <c r="A1" s="22" t="s">
        <v>182</v>
      </c>
      <c r="B1" s="22" t="s">
        <v>185</v>
      </c>
      <c r="C1" s="22" t="s">
        <v>185</v>
      </c>
      <c r="D1" s="22" t="s">
        <v>185</v>
      </c>
      <c r="E1" s="22" t="s">
        <v>186</v>
      </c>
    </row>
    <row r="2" spans="1:5" s="21" customFormat="1" ht="24" customHeight="1" x14ac:dyDescent="0.15">
      <c r="A2" s="22" t="s">
        <v>87</v>
      </c>
      <c r="B2" s="22" t="s">
        <v>88</v>
      </c>
      <c r="C2" s="22" t="s">
        <v>187</v>
      </c>
      <c r="D2" s="22" t="s">
        <v>187</v>
      </c>
      <c r="E2" s="22" t="s">
        <v>88</v>
      </c>
    </row>
    <row r="3" spans="1:5" s="21" customFormat="1" ht="24" customHeight="1" x14ac:dyDescent="0.15">
      <c r="A3" s="22" t="s">
        <v>91</v>
      </c>
      <c r="B3" s="22" t="s">
        <v>92</v>
      </c>
      <c r="C3" s="22" t="s">
        <v>92</v>
      </c>
      <c r="D3" s="22" t="s">
        <v>92</v>
      </c>
      <c r="E3" s="22" t="s">
        <v>92</v>
      </c>
    </row>
    <row r="4" spans="1:5" s="21" customFormat="1" ht="24" customHeight="1" x14ac:dyDescent="0.15">
      <c r="A4" s="22" t="s">
        <v>94</v>
      </c>
      <c r="B4" s="22" t="s">
        <v>210</v>
      </c>
      <c r="C4" s="22" t="s">
        <v>192</v>
      </c>
      <c r="D4" s="22" t="s">
        <v>210</v>
      </c>
      <c r="E4" s="22" t="s">
        <v>193</v>
      </c>
    </row>
    <row r="5" spans="1:5" s="21" customFormat="1" ht="24" customHeight="1" x14ac:dyDescent="0.15">
      <c r="A5" s="22" t="s">
        <v>98</v>
      </c>
      <c r="B5" s="22" t="s">
        <v>99</v>
      </c>
      <c r="C5" s="22" t="s">
        <v>99</v>
      </c>
      <c r="D5" s="22" t="s">
        <v>99</v>
      </c>
      <c r="E5" s="22" t="s">
        <v>99</v>
      </c>
    </row>
    <row r="6" spans="1:5" s="21" customFormat="1" ht="24" customHeight="1" x14ac:dyDescent="0.15">
      <c r="A6" s="22" t="s">
        <v>101</v>
      </c>
      <c r="B6" s="126"/>
      <c r="C6" s="126"/>
      <c r="D6" s="126"/>
      <c r="E6" s="126"/>
    </row>
    <row r="7" spans="1:5" s="21" customFormat="1" ht="24" customHeight="1" x14ac:dyDescent="0.15">
      <c r="A7" s="22" t="s">
        <v>194</v>
      </c>
      <c r="B7" s="126"/>
      <c r="C7" s="126"/>
      <c r="D7" s="126"/>
      <c r="E7" s="126"/>
    </row>
    <row r="8" spans="1:5" ht="24" customHeight="1" x14ac:dyDescent="0.15">
      <c r="A8" s="22" t="s">
        <v>105</v>
      </c>
      <c r="B8" s="126" t="s">
        <v>71</v>
      </c>
      <c r="C8" s="126" t="s">
        <v>71</v>
      </c>
      <c r="D8" s="126" t="s">
        <v>71</v>
      </c>
      <c r="E8" s="126"/>
    </row>
    <row r="9" spans="1:5" ht="38.25" customHeight="1" x14ac:dyDescent="0.15">
      <c r="A9" s="63" t="s">
        <v>107</v>
      </c>
      <c r="B9" s="127" t="s">
        <v>211</v>
      </c>
      <c r="C9" s="129" t="s">
        <v>212</v>
      </c>
      <c r="D9" s="127" t="s">
        <v>213</v>
      </c>
      <c r="E9" s="127" t="s">
        <v>201</v>
      </c>
    </row>
    <row r="10" spans="1:5" s="65" customFormat="1" ht="13.5" customHeight="1" x14ac:dyDescent="0.15">
      <c r="A10" s="71"/>
      <c r="B10" s="64" t="str">
        <f>IF(B7="","",0.747*B7+21.355)</f>
        <v/>
      </c>
      <c r="C10" s="64" t="str">
        <f>IF(C7="","",-0.204*C7*C7+3.166*C7-1.936)</f>
        <v/>
      </c>
      <c r="D10" s="64" t="str">
        <f>IF(D7="","",1.265*D7-15.67)</f>
        <v/>
      </c>
      <c r="E10" s="64" t="str">
        <f>IF(E7="","",3.297*E8+(1.971*E7+4.663))</f>
        <v/>
      </c>
    </row>
    <row r="11" spans="1:5" s="70" customFormat="1" ht="40.5" customHeight="1" x14ac:dyDescent="0.15">
      <c r="A11" s="63" t="s">
        <v>108</v>
      </c>
      <c r="B11" s="128" t="s">
        <v>214</v>
      </c>
      <c r="C11" s="128" t="s">
        <v>215</v>
      </c>
      <c r="D11" s="128" t="s">
        <v>216</v>
      </c>
      <c r="E11" s="128" t="s">
        <v>208</v>
      </c>
    </row>
    <row r="12" spans="1:5" s="65" customFormat="1" ht="13.5" customHeight="1" x14ac:dyDescent="0.15">
      <c r="A12" s="71"/>
      <c r="B12" s="64" t="str">
        <f>IF(B7="","",1.263*B7*B7+4.295*B7-7.649)</f>
        <v/>
      </c>
      <c r="C12" s="64" t="str">
        <f>IF(C7="","",1.345*C7*C7+0.736*C7+0.251)</f>
        <v/>
      </c>
      <c r="D12" s="64" t="str">
        <f>IF(D7="","",1.259*D7*D7+2.336*D7-8.13)</f>
        <v/>
      </c>
      <c r="E12" s="64" t="str">
        <f>IF(E7="","",(1.401*E7+0.684)*E8+(1.214*E7-0.834))</f>
        <v/>
      </c>
    </row>
    <row r="13" spans="1:5" s="65" customFormat="1" ht="24.75" customHeight="1" x14ac:dyDescent="0.15">
      <c r="A13" s="45" t="s">
        <v>168</v>
      </c>
      <c r="B13" s="127" t="s">
        <v>71</v>
      </c>
      <c r="C13" s="127" t="s">
        <v>71</v>
      </c>
      <c r="D13" s="127" t="s">
        <v>71</v>
      </c>
      <c r="E13" s="127" t="s">
        <v>71</v>
      </c>
    </row>
    <row r="14" spans="1:5" s="21" customFormat="1" ht="15" customHeight="1" x14ac:dyDescent="0.15">
      <c r="A14" s="49"/>
      <c r="B14" s="123"/>
      <c r="C14" s="123"/>
      <c r="D14" s="123"/>
      <c r="E14" s="123"/>
    </row>
    <row r="15" spans="1:5" s="21" customFormat="1" ht="24" customHeight="1" x14ac:dyDescent="0.15">
      <c r="A15" s="22" t="s">
        <v>112</v>
      </c>
      <c r="B15" s="22" t="str">
        <f>IF(B7="","",B10*B6+B12)</f>
        <v/>
      </c>
      <c r="C15" s="22" t="str">
        <f>IF(C7="","",C10*C6+C12)</f>
        <v/>
      </c>
      <c r="D15" s="22" t="str">
        <f>IF(D7="","",D10*D6+D12)</f>
        <v/>
      </c>
      <c r="E15" s="22" t="str">
        <f>IF(E7="","",E10*E6+E12)</f>
        <v/>
      </c>
    </row>
  </sheetData>
  <sheetProtection sheet="1" objects="1" scenarios="1"/>
  <phoneticPr fontId="7"/>
  <pageMargins left="1.8402777777777799" right="0.75" top="1.3798611111111101" bottom="0.68958333333333299" header="1.02013888888889" footer="0.32986111111111099"/>
  <pageSetup paperSize="9" firstPageNumber="0" orientation="landscape" horizontalDpi="300" verticalDpi="300"/>
  <headerFooter>
    <oddHeader>&amp;C&amp;A</oddHeader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4"/>
  <sheetViews>
    <sheetView zoomScaleNormal="100" zoomScalePageLayoutView="60" workbookViewId="0"/>
  </sheetViews>
  <sheetFormatPr defaultRowHeight="13.5" x14ac:dyDescent="0.15"/>
  <cols>
    <col min="1" max="1" width="11" style="130" customWidth="1"/>
    <col min="2" max="2" width="16.25" style="131" customWidth="1"/>
    <col min="3" max="8" width="12.625" style="131" customWidth="1"/>
    <col min="9" max="257" width="9" style="131" customWidth="1"/>
    <col min="258" max="1025" width="9" customWidth="1"/>
  </cols>
  <sheetData>
    <row r="1" spans="1:8" s="130" customFormat="1" ht="24" customHeight="1" x14ac:dyDescent="0.15">
      <c r="A1" s="132" t="s">
        <v>182</v>
      </c>
      <c r="B1" s="16" t="s">
        <v>217</v>
      </c>
      <c r="C1" s="16"/>
      <c r="D1" s="16"/>
      <c r="E1" s="16"/>
      <c r="F1" s="16"/>
      <c r="G1" s="16"/>
      <c r="H1" s="16"/>
    </row>
    <row r="2" spans="1:8" s="130" customFormat="1" ht="24" customHeight="1" x14ac:dyDescent="0.15">
      <c r="A2" s="132" t="s">
        <v>87</v>
      </c>
      <c r="B2" s="16" t="s">
        <v>218</v>
      </c>
      <c r="C2" s="16"/>
      <c r="D2" s="16"/>
      <c r="E2" s="16"/>
      <c r="F2" s="16"/>
      <c r="G2" s="16"/>
      <c r="H2" s="16"/>
    </row>
    <row r="3" spans="1:8" s="130" customFormat="1" ht="24" customHeight="1" x14ac:dyDescent="0.15">
      <c r="A3" s="132" t="s">
        <v>91</v>
      </c>
      <c r="B3" s="15" t="s">
        <v>219</v>
      </c>
      <c r="C3" s="15"/>
      <c r="D3" s="15"/>
      <c r="E3" s="15"/>
      <c r="F3" s="133" t="str">
        <f>IF(B6="","",IF($B$6&gt;=1,IF($B$6&lt;=5,"","適用範囲外"),"適用範囲外"))</f>
        <v/>
      </c>
      <c r="G3" s="134"/>
      <c r="H3" s="135"/>
    </row>
    <row r="4" spans="1:8" s="130" customFormat="1" ht="24" customHeight="1" x14ac:dyDescent="0.15">
      <c r="A4" s="132" t="s">
        <v>94</v>
      </c>
      <c r="B4" s="132" t="s">
        <v>220</v>
      </c>
      <c r="C4" s="132">
        <v>5</v>
      </c>
      <c r="D4" s="132">
        <v>10</v>
      </c>
      <c r="E4" s="132">
        <v>20</v>
      </c>
      <c r="F4" s="132">
        <v>30</v>
      </c>
      <c r="G4" s="132">
        <v>40</v>
      </c>
      <c r="H4" s="132">
        <v>50</v>
      </c>
    </row>
    <row r="5" spans="1:8" s="130" customFormat="1" ht="24" customHeight="1" x14ac:dyDescent="0.15">
      <c r="A5" s="132" t="s">
        <v>98</v>
      </c>
      <c r="B5" s="16" t="s">
        <v>221</v>
      </c>
      <c r="C5" s="16"/>
      <c r="D5" s="16"/>
      <c r="E5" s="16"/>
      <c r="F5" s="16"/>
      <c r="G5" s="16"/>
      <c r="H5" s="16"/>
    </row>
    <row r="6" spans="1:8" s="130" customFormat="1" ht="24" customHeight="1" x14ac:dyDescent="0.15">
      <c r="A6" s="132" t="s">
        <v>101</v>
      </c>
      <c r="B6" s="126"/>
      <c r="C6" s="132" t="s">
        <v>71</v>
      </c>
      <c r="D6" s="132" t="s">
        <v>71</v>
      </c>
      <c r="E6" s="132" t="s">
        <v>71</v>
      </c>
      <c r="F6" s="132" t="s">
        <v>71</v>
      </c>
      <c r="G6" s="132" t="s">
        <v>71</v>
      </c>
      <c r="H6" s="132" t="s">
        <v>71</v>
      </c>
    </row>
    <row r="7" spans="1:8" s="130" customFormat="1" ht="24" customHeight="1" x14ac:dyDescent="0.15">
      <c r="A7" s="132" t="s">
        <v>103</v>
      </c>
      <c r="B7" s="126"/>
      <c r="C7" s="132" t="s">
        <v>71</v>
      </c>
      <c r="D7" s="132" t="s">
        <v>71</v>
      </c>
      <c r="E7" s="132" t="s">
        <v>71</v>
      </c>
      <c r="F7" s="132" t="s">
        <v>71</v>
      </c>
      <c r="G7" s="132" t="s">
        <v>71</v>
      </c>
      <c r="H7" s="132" t="s">
        <v>71</v>
      </c>
    </row>
    <row r="8" spans="1:8" ht="24" customHeight="1" x14ac:dyDescent="0.15">
      <c r="A8" s="132" t="s">
        <v>105</v>
      </c>
      <c r="B8" s="126"/>
      <c r="C8" s="132" t="s">
        <v>71</v>
      </c>
      <c r="D8" s="132" t="s">
        <v>71</v>
      </c>
      <c r="E8" s="132" t="s">
        <v>71</v>
      </c>
      <c r="F8" s="132" t="s">
        <v>71</v>
      </c>
      <c r="G8" s="132" t="s">
        <v>71</v>
      </c>
      <c r="H8" s="132" t="s">
        <v>71</v>
      </c>
    </row>
    <row r="9" spans="1:8" ht="24" customHeight="1" x14ac:dyDescent="0.15">
      <c r="A9" s="136" t="s">
        <v>222</v>
      </c>
      <c r="B9" s="137" t="str">
        <f>IF(B7="","1≦X≦５",IF($B$8/$B$7&gt;=1,IF($B$8/$B$7&lt;=5,"1≦X≦５","適用範囲外"),"適用範囲外"))</f>
        <v>1≦X≦５</v>
      </c>
      <c r="C9" s="137" t="str">
        <f>IF($B$9="適用範囲外","",IF($B$7&gt;=5,IF($B$7&lt;=10,$B$8/$B$7,""),""))</f>
        <v/>
      </c>
      <c r="D9" s="137" t="str">
        <f>IF($B$9="適用範囲外","",IF($B$7&gt;=5,IF($B$7&lt;=20,$B$8/$B$7,""),""))</f>
        <v/>
      </c>
      <c r="E9" s="137" t="str">
        <f>IF($B$9="適用範囲外","",IF($B$7&gt;=10,IF($B$7&lt;=30,$B$8/$B$7,""),""))</f>
        <v/>
      </c>
      <c r="F9" s="137" t="str">
        <f>IF($B$9="適用範囲外","",IF($B$7&gt;=20,IF($B$7&lt;=40,$B$8/$B$7,""),""))</f>
        <v/>
      </c>
      <c r="G9" s="137" t="str">
        <f>IF($B$9="適用範囲外","",IF($B$7&gt;=30,IF($B$7&lt;=50,$B$8/$B$7,""),""))</f>
        <v/>
      </c>
      <c r="H9" s="137" t="str">
        <f>IF($B$9="適用範囲外","",IF($B$7&gt;=40,IF($B$7&lt;=5010,$B$8/$B$7,""),""))</f>
        <v/>
      </c>
    </row>
    <row r="10" spans="1:8" ht="38.25" customHeight="1" x14ac:dyDescent="0.15">
      <c r="A10" s="138" t="s">
        <v>107</v>
      </c>
      <c r="B10" s="139" t="s">
        <v>71</v>
      </c>
      <c r="C10" s="140" t="s">
        <v>223</v>
      </c>
      <c r="D10" s="140" t="s">
        <v>224</v>
      </c>
      <c r="E10" s="140" t="s">
        <v>225</v>
      </c>
      <c r="F10" s="140" t="s">
        <v>226</v>
      </c>
      <c r="G10" s="140" t="s">
        <v>227</v>
      </c>
      <c r="H10" s="140" t="s">
        <v>228</v>
      </c>
    </row>
    <row r="11" spans="1:8" s="144" customFormat="1" ht="13.5" customHeight="1" x14ac:dyDescent="0.15">
      <c r="A11" s="141"/>
      <c r="B11" s="142" t="s">
        <v>71</v>
      </c>
      <c r="C11" s="143" t="str">
        <f>IF(C9="","",8.83*POWER(C9,-0.461))</f>
        <v/>
      </c>
      <c r="D11" s="143" t="str">
        <f>IF(D9="","",7.88*POWER(D9,-0.446))</f>
        <v/>
      </c>
      <c r="E11" s="143" t="str">
        <f>IF(E9="","",7.06*POWER(E9,-0.452))</f>
        <v/>
      </c>
      <c r="F11" s="143" t="str">
        <f>IF(F9="","",6.43*POWER(F9,-0.444))</f>
        <v/>
      </c>
      <c r="G11" s="143" t="str">
        <f>IF(G9="","",5.97*POWER(G9,-0.44))</f>
        <v/>
      </c>
      <c r="H11" s="143" t="str">
        <f>IF(H9="","",5.62*POWER(H9,-0.442))</f>
        <v/>
      </c>
    </row>
    <row r="12" spans="1:8" s="144" customFormat="1" ht="24" customHeight="1" x14ac:dyDescent="0.15">
      <c r="A12" s="141" t="s">
        <v>229</v>
      </c>
      <c r="B12" s="142" t="s">
        <v>71</v>
      </c>
      <c r="C12" s="142">
        <v>7.03</v>
      </c>
      <c r="D12" s="142">
        <v>14</v>
      </c>
      <c r="E12" s="142">
        <v>27.06</v>
      </c>
      <c r="F12" s="142">
        <v>39.75</v>
      </c>
      <c r="G12" s="142">
        <v>52.25</v>
      </c>
      <c r="H12" s="142">
        <v>64.680000000000007</v>
      </c>
    </row>
    <row r="13" spans="1:8" s="130" customFormat="1" ht="24" customHeight="1" x14ac:dyDescent="0.15">
      <c r="A13" s="132" t="s">
        <v>112</v>
      </c>
      <c r="B13" s="142" t="s">
        <v>71</v>
      </c>
      <c r="C13" s="132" t="str">
        <f t="shared" ref="C13:H13" si="0">IF(C9="","",ROUNDDOWN((C11*$B$6+C12)*$B$8,3))</f>
        <v/>
      </c>
      <c r="D13" s="132" t="str">
        <f t="shared" si="0"/>
        <v/>
      </c>
      <c r="E13" s="132" t="str">
        <f t="shared" si="0"/>
        <v/>
      </c>
      <c r="F13" s="132" t="str">
        <f t="shared" si="0"/>
        <v/>
      </c>
      <c r="G13" s="132" t="str">
        <f t="shared" si="0"/>
        <v/>
      </c>
      <c r="H13" s="132" t="str">
        <f t="shared" si="0"/>
        <v/>
      </c>
    </row>
    <row r="14" spans="1:8" ht="24" customHeight="1" x14ac:dyDescent="0.15">
      <c r="A14" s="132" t="s">
        <v>230</v>
      </c>
      <c r="B14" s="142" t="s">
        <v>71</v>
      </c>
      <c r="C14" s="132" t="str">
        <f>IF(C13="","",ROUNDDOWN((D13-C13)/(D4-C4)*($B$7-C4),3))</f>
        <v/>
      </c>
      <c r="D14" s="132" t="str">
        <f>IF(D13="","",ROUNDDOWN((E13-D13)/(E4-D4)*($B$7-D4),3))</f>
        <v/>
      </c>
      <c r="E14" s="132" t="str">
        <f>IF(E13="","",ROUNDDOWN((F13-E13)/(F4-E4)*($B$7-E4),3))</f>
        <v/>
      </c>
      <c r="F14" s="132" t="str">
        <f>IF(F13="","",ROUNDDOWN((G13-F13)/(G4-F4)*($B$7-F4),3))</f>
        <v/>
      </c>
      <c r="G14" s="132" t="str">
        <f>IF(G13="","",ROUNDDOWN((H13-G13)/(H4-G4)*($B$7-G4),3))</f>
        <v/>
      </c>
      <c r="H14" s="132" t="s">
        <v>71</v>
      </c>
    </row>
  </sheetData>
  <sheetProtection sheet="1" objects="1" scenarios="1"/>
  <mergeCells count="4">
    <mergeCell ref="B1:H1"/>
    <mergeCell ref="B2:H2"/>
    <mergeCell ref="B3:E3"/>
    <mergeCell ref="B5:H5"/>
  </mergeCells>
  <phoneticPr fontId="7"/>
  <pageMargins left="1.8402777777777799" right="0.75" top="1.3798611111111101" bottom="0.68958333333333299" header="1.02013888888889" footer="0.32986111111111099"/>
  <pageSetup paperSize="9" firstPageNumber="0" orientation="landscape" horizontalDpi="300" verticalDpi="300"/>
  <headerFooter>
    <oddHeader>&amp;C&amp;A</oddHeader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4"/>
  <sheetViews>
    <sheetView zoomScaleNormal="100" zoomScalePageLayoutView="60" workbookViewId="0"/>
  </sheetViews>
  <sheetFormatPr defaultRowHeight="13.5" x14ac:dyDescent="0.15"/>
  <cols>
    <col min="1" max="1" width="11" style="130" customWidth="1"/>
    <col min="2" max="2" width="16.25" style="131" customWidth="1"/>
    <col min="3" max="8" width="12.625" style="131" customWidth="1"/>
    <col min="9" max="257" width="9" style="131" customWidth="1"/>
    <col min="258" max="1025" width="9" customWidth="1"/>
  </cols>
  <sheetData>
    <row r="1" spans="1:8" s="130" customFormat="1" ht="24" customHeight="1" x14ac:dyDescent="0.15">
      <c r="A1" s="132" t="s">
        <v>182</v>
      </c>
      <c r="B1" s="16" t="s">
        <v>217</v>
      </c>
      <c r="C1" s="16"/>
      <c r="D1" s="16"/>
      <c r="E1" s="16"/>
      <c r="F1" s="16"/>
      <c r="G1" s="16"/>
      <c r="H1" s="16"/>
    </row>
    <row r="2" spans="1:8" s="130" customFormat="1" ht="24" customHeight="1" x14ac:dyDescent="0.15">
      <c r="A2" s="132" t="s">
        <v>87</v>
      </c>
      <c r="B2" s="16" t="s">
        <v>231</v>
      </c>
      <c r="C2" s="16"/>
      <c r="D2" s="16"/>
      <c r="E2" s="16"/>
      <c r="F2" s="16"/>
      <c r="G2" s="16"/>
      <c r="H2" s="16"/>
    </row>
    <row r="3" spans="1:8" s="130" customFormat="1" ht="24" customHeight="1" x14ac:dyDescent="0.15">
      <c r="A3" s="132" t="s">
        <v>91</v>
      </c>
      <c r="B3" s="15" t="s">
        <v>219</v>
      </c>
      <c r="C3" s="15"/>
      <c r="D3" s="15"/>
      <c r="E3" s="15"/>
      <c r="F3" s="133" t="str">
        <f>IF(B6="","",IF($B$6&gt;=1,IF($B$6&lt;=5,"","適用範囲外"),"適用範囲外"))</f>
        <v/>
      </c>
      <c r="G3" s="134"/>
      <c r="H3" s="135"/>
    </row>
    <row r="4" spans="1:8" s="130" customFormat="1" ht="24" customHeight="1" x14ac:dyDescent="0.15">
      <c r="A4" s="132" t="s">
        <v>94</v>
      </c>
      <c r="B4" s="132" t="s">
        <v>220</v>
      </c>
      <c r="C4" s="132">
        <v>5</v>
      </c>
      <c r="D4" s="132">
        <v>10</v>
      </c>
      <c r="E4" s="132">
        <v>20</v>
      </c>
      <c r="F4" s="132">
        <v>30</v>
      </c>
      <c r="G4" s="132">
        <v>40</v>
      </c>
      <c r="H4" s="132">
        <v>50</v>
      </c>
    </row>
    <row r="5" spans="1:8" s="130" customFormat="1" ht="24" customHeight="1" x14ac:dyDescent="0.15">
      <c r="A5" s="132" t="s">
        <v>98</v>
      </c>
      <c r="B5" s="16" t="s">
        <v>221</v>
      </c>
      <c r="C5" s="16"/>
      <c r="D5" s="16"/>
      <c r="E5" s="16"/>
      <c r="F5" s="16"/>
      <c r="G5" s="16"/>
      <c r="H5" s="16"/>
    </row>
    <row r="6" spans="1:8" s="130" customFormat="1" ht="24" customHeight="1" x14ac:dyDescent="0.15">
      <c r="A6" s="132" t="s">
        <v>101</v>
      </c>
      <c r="B6" s="126"/>
      <c r="C6" s="132" t="s">
        <v>71</v>
      </c>
      <c r="D6" s="132" t="s">
        <v>71</v>
      </c>
      <c r="E6" s="132" t="s">
        <v>71</v>
      </c>
      <c r="F6" s="132" t="s">
        <v>71</v>
      </c>
      <c r="G6" s="132" t="s">
        <v>71</v>
      </c>
      <c r="H6" s="132" t="s">
        <v>71</v>
      </c>
    </row>
    <row r="7" spans="1:8" s="130" customFormat="1" ht="24" customHeight="1" x14ac:dyDescent="0.15">
      <c r="A7" s="132" t="s">
        <v>103</v>
      </c>
      <c r="B7" s="126"/>
      <c r="C7" s="132" t="s">
        <v>71</v>
      </c>
      <c r="D7" s="132" t="s">
        <v>71</v>
      </c>
      <c r="E7" s="132" t="s">
        <v>71</v>
      </c>
      <c r="F7" s="132" t="s">
        <v>71</v>
      </c>
      <c r="G7" s="132" t="s">
        <v>71</v>
      </c>
      <c r="H7" s="132" t="s">
        <v>71</v>
      </c>
    </row>
    <row r="8" spans="1:8" ht="24" customHeight="1" x14ac:dyDescent="0.15">
      <c r="A8" s="132" t="s">
        <v>105</v>
      </c>
      <c r="B8" s="126"/>
      <c r="C8" s="132" t="s">
        <v>71</v>
      </c>
      <c r="D8" s="132" t="s">
        <v>71</v>
      </c>
      <c r="E8" s="132" t="s">
        <v>71</v>
      </c>
      <c r="F8" s="132" t="s">
        <v>71</v>
      </c>
      <c r="G8" s="132" t="s">
        <v>71</v>
      </c>
      <c r="H8" s="132" t="s">
        <v>71</v>
      </c>
    </row>
    <row r="9" spans="1:8" ht="24" customHeight="1" x14ac:dyDescent="0.15">
      <c r="A9" s="136" t="s">
        <v>222</v>
      </c>
      <c r="B9" s="137" t="str">
        <f>IF(B7="","1≦X≦５",IF($B$8/$B$7&gt;=1,IF($B$8/$B$7&lt;=5,"1≦X≦５","適用範囲外"),"適用範囲外"))</f>
        <v>1≦X≦５</v>
      </c>
      <c r="C9" s="137" t="str">
        <f>IF($B$9="適用範囲外","",IF($B$7&gt;=5,IF($B$7&lt;=10,$B$8/$B$7,""),""))</f>
        <v/>
      </c>
      <c r="D9" s="137" t="str">
        <f>IF($B$9="適用範囲外","",IF($B$7&gt;=5,IF($B$7&lt;=20,$B$8/$B$7,""),""))</f>
        <v/>
      </c>
      <c r="E9" s="137" t="str">
        <f>IF($B$9="適用範囲外","",IF($B$7&gt;=10,IF($B$7&lt;=30,$B$8/$B$7,""),""))</f>
        <v/>
      </c>
      <c r="F9" s="137" t="str">
        <f>IF($B$9="適用範囲外","",IF($B$7&gt;=20,IF($B$7&lt;=40,$B$8/$B$7,""),""))</f>
        <v/>
      </c>
      <c r="G9" s="137" t="str">
        <f>IF($B$9="適用範囲外","",IF($B$7&gt;=30,IF($B$7&lt;=50,$B$8/$B$7,""),""))</f>
        <v/>
      </c>
      <c r="H9" s="137" t="str">
        <f>IF($B$9="適用範囲外","",IF($B$7&gt;=40,IF($B$7&lt;=5010,$B$8/$B$7,""),""))</f>
        <v/>
      </c>
    </row>
    <row r="10" spans="1:8" ht="38.25" customHeight="1" x14ac:dyDescent="0.15">
      <c r="A10" s="138" t="s">
        <v>107</v>
      </c>
      <c r="B10" s="139" t="s">
        <v>71</v>
      </c>
      <c r="C10" s="140" t="s">
        <v>232</v>
      </c>
      <c r="D10" s="140" t="s">
        <v>233</v>
      </c>
      <c r="E10" s="140" t="s">
        <v>234</v>
      </c>
      <c r="F10" s="140" t="s">
        <v>235</v>
      </c>
      <c r="G10" s="140" t="s">
        <v>236</v>
      </c>
      <c r="H10" s="140" t="s">
        <v>237</v>
      </c>
    </row>
    <row r="11" spans="1:8" s="144" customFormat="1" ht="13.5" customHeight="1" x14ac:dyDescent="0.15">
      <c r="A11" s="141"/>
      <c r="B11" s="142" t="s">
        <v>71</v>
      </c>
      <c r="C11" s="143" t="str">
        <f>IF(C9="","",1.94*POWER(C9,-0.328))</f>
        <v/>
      </c>
      <c r="D11" s="143" t="str">
        <f>IF(D9="","",2.29*POWER(D9,-0.397))</f>
        <v/>
      </c>
      <c r="E11" s="143" t="str">
        <f>IF(E9="","",2.37*POWER(E9,-0.488))</f>
        <v/>
      </c>
      <c r="F11" s="143" t="str">
        <f>IF(F9="","",2.17*POWER(F9,-0.518))</f>
        <v/>
      </c>
      <c r="G11" s="143" t="str">
        <f>IF(G9="","",1.96*POWER(G9,-0.554))</f>
        <v/>
      </c>
      <c r="H11" s="143" t="str">
        <f>IF(H9="","",1.76*POWER(H9,-0.609))</f>
        <v/>
      </c>
    </row>
    <row r="12" spans="1:8" s="144" customFormat="1" ht="24" customHeight="1" x14ac:dyDescent="0.15">
      <c r="A12" s="141" t="s">
        <v>229</v>
      </c>
      <c r="B12" s="142" t="s">
        <v>71</v>
      </c>
      <c r="C12" s="142">
        <v>7.57</v>
      </c>
      <c r="D12" s="142">
        <v>13.84</v>
      </c>
      <c r="E12" s="142">
        <v>26.36</v>
      </c>
      <c r="F12" s="142">
        <v>38.79</v>
      </c>
      <c r="G12" s="142">
        <v>51.16</v>
      </c>
      <c r="H12" s="142">
        <v>63.5</v>
      </c>
    </row>
    <row r="13" spans="1:8" s="130" customFormat="1" ht="24" customHeight="1" x14ac:dyDescent="0.15">
      <c r="A13" s="132" t="s">
        <v>112</v>
      </c>
      <c r="B13" s="142" t="s">
        <v>71</v>
      </c>
      <c r="C13" s="132" t="str">
        <f t="shared" ref="C13:H13" si="0">IF(C9="","",ROUNDDOWN((C11*$B$6+C12)*$B$8,3))</f>
        <v/>
      </c>
      <c r="D13" s="132" t="str">
        <f t="shared" si="0"/>
        <v/>
      </c>
      <c r="E13" s="132" t="str">
        <f t="shared" si="0"/>
        <v/>
      </c>
      <c r="F13" s="132" t="str">
        <f t="shared" si="0"/>
        <v/>
      </c>
      <c r="G13" s="132" t="str">
        <f t="shared" si="0"/>
        <v/>
      </c>
      <c r="H13" s="132" t="str">
        <f t="shared" si="0"/>
        <v/>
      </c>
    </row>
    <row r="14" spans="1:8" ht="24" customHeight="1" x14ac:dyDescent="0.15">
      <c r="A14" s="132" t="s">
        <v>230</v>
      </c>
      <c r="B14" s="142" t="s">
        <v>71</v>
      </c>
      <c r="C14" s="132" t="str">
        <f>IF(C13="","",ROUNDDOWN((D13-C13)/(D4-C4)*($B$7-C4),3))</f>
        <v/>
      </c>
      <c r="D14" s="132" t="str">
        <f>IF(D13="","",ROUNDDOWN((E13-D13)/(E4-D4)*($B$7-D4),3))</f>
        <v/>
      </c>
      <c r="E14" s="132" t="str">
        <f>IF(E13="","",ROUNDDOWN((F13-E13)/(F4-E4)*($B$7-E4),3))</f>
        <v/>
      </c>
      <c r="F14" s="132" t="str">
        <f>IF(F13="","",ROUNDDOWN((G13-F13)/(G4-F4)*($B$7-F4),3))</f>
        <v/>
      </c>
      <c r="G14" s="132" t="str">
        <f>IF(G13="","",ROUNDDOWN((H13-G13)/(H4-G4)*($B$7-G4),3))</f>
        <v/>
      </c>
      <c r="H14" s="132" t="s">
        <v>71</v>
      </c>
    </row>
  </sheetData>
  <sheetProtection sheet="1" objects="1" scenarios="1"/>
  <mergeCells count="4">
    <mergeCell ref="B1:H1"/>
    <mergeCell ref="B2:H2"/>
    <mergeCell ref="B3:E3"/>
    <mergeCell ref="B5:H5"/>
  </mergeCells>
  <phoneticPr fontId="7"/>
  <pageMargins left="1.8402777777777799" right="0.75" top="1.3798611111111101" bottom="0.68958333333333299" header="1.02013888888889" footer="0.32986111111111099"/>
  <pageSetup paperSize="9" firstPageNumber="0" orientation="landscape" horizontalDpi="300" verticalDpi="300"/>
  <headerFooter>
    <oddHeader>&amp;C&amp;A</oddHead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はじめに</vt:lpstr>
      <vt:lpstr>流出量計算</vt:lpstr>
      <vt:lpstr>浸透施設設計</vt:lpstr>
      <vt:lpstr>浸透トレンチ</vt:lpstr>
      <vt:lpstr>浸透側溝</vt:lpstr>
      <vt:lpstr>浸透丸桝</vt:lpstr>
      <vt:lpstr>浸透角形桝</vt:lpstr>
      <vt:lpstr>比浸透量K算定</vt:lpstr>
      <vt:lpstr>比浸透量K算定（大規模）</vt:lpstr>
      <vt:lpstr>比浸透量K算定（大型貯留槽・側面底面）</vt:lpstr>
      <vt:lpstr>比浸透量K算定（大型貯留槽・底面）</vt:lpstr>
      <vt:lpstr>浸透トレンチ!Print_Area</vt:lpstr>
      <vt:lpstr>浸透角形桝!Print_Area</vt:lpstr>
      <vt:lpstr>浸透丸桝!Print_Area</vt:lpstr>
      <vt:lpstr>浸透側溝!Print_Area</vt:lpstr>
      <vt:lpstr>浸透トレンチ!Print_Titles</vt:lpstr>
      <vt:lpstr>浸透側溝!Print_Titles</vt:lpstr>
      <vt:lpstr>比浸透量K算定!Print_Titles</vt:lpstr>
      <vt:lpstr>'比浸透量K算定（大規模）'!Print_Titles</vt:lpstr>
      <vt:lpstr>'比浸透量K算定（大型貯留槽・側面底面）'!Print_Titles</vt:lpstr>
      <vt:lpstr>'比浸透量K算定（大型貯留槽・底面）'!Print_Titles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2021-10-25T01:05:03Z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2004-04-28T11:39:34Z</dcterms:created>
  <dc:creator>毛呂山町役場</dc:creator>
  <dc:description/>
  <dc:language>ja-JP</dc:language>
  <cp:lastModifiedBy>Administrator</cp:lastModifiedBy>
  <cp:lastPrinted>2011-03-08T18:44:24Z</cp:lastPrinted>
  <dcterms:modified xsi:type="dcterms:W3CDTF">2015-10-16T11:19:08Z</dcterms:modified>
  <cp:revision>0</cp:revision>
  <dc:subject/>
  <dc:title/>
</cp:coreProperties>
</file>